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133163\Non Synchronisé OneDrive\PRIV\(IRP)\"/>
    </mc:Choice>
  </mc:AlternateContent>
  <xr:revisionPtr revIDLastSave="0" documentId="13_ncr:1_{396E52C1-C3E8-4850-8631-B7B2C7211BB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nterface simplifiée" sheetId="8" r:id="rId1"/>
    <sheet name="Simuler mon abondement SGPM" sheetId="2" r:id="rId2"/>
    <sheet name="Maximiser mon abondement SGPM" sheetId="7" r:id="rId3"/>
    <sheet name="POLITIQUE D'ABONDEMENT SGPM" sheetId="1" r:id="rId4"/>
  </sheets>
  <externalReferences>
    <externalReference r:id="rId5"/>
    <externalReference r:id="rId6"/>
    <externalReference r:id="rId7"/>
  </externalReferences>
  <definedNames>
    <definedName name="AK_INT" localSheetId="0">'[1]Simuler mon abondement SGPM'!$C$31</definedName>
    <definedName name="AK_INT">'Simuler mon abondement SGPM'!$C$43</definedName>
    <definedName name="AK_INT_2">'[2]Simuler mon abondement SGPM'!$C$31</definedName>
    <definedName name="AK_INT_TER">'Maximiser mon abondement SGPM'!$C$31</definedName>
    <definedName name="AK_PART" localSheetId="0">'[1]Simuler mon abondement SGPM'!$C$27</definedName>
    <definedName name="AK_PART">'Simuler mon abondement SGPM'!$C$39</definedName>
    <definedName name="AK_PART_2">'[2]Simuler mon abondement SGPM'!$C$27</definedName>
    <definedName name="AK_PART_TER">'Maximiser mon abondement SGPM'!$C$27</definedName>
    <definedName name="AK_VV" localSheetId="0">'[3]Simulateur d''abondement SGPM'!$C$35</definedName>
    <definedName name="AK_VV">'Simuler mon abondement SGPM'!$C$47</definedName>
    <definedName name="CPT_INT" localSheetId="0">'[1]Simuler mon abondement SGPM'!$C$33</definedName>
    <definedName name="CPT_INT">'Simuler mon abondement SGPM'!$C$45</definedName>
    <definedName name="CPT_INT_2">'[2]Simuler mon abondement SGPM'!$C$33</definedName>
    <definedName name="CPT_INT_TER">'Maximiser mon abondement SGPM'!$C$33</definedName>
    <definedName name="CPT_PART" localSheetId="0">'[1]Simuler mon abondement SGPM'!$C$29</definedName>
    <definedName name="CPT_PART">'Simuler mon abondement SGPM'!$C$41</definedName>
    <definedName name="CPT_PART_2">'[2]Simuler mon abondement SGPM'!$C$29</definedName>
    <definedName name="CPT_PART_TER">'Maximiser mon abondement SGPM'!$C$29</definedName>
    <definedName name="DIV_INT" localSheetId="0">'[1]Simuler mon abondement SGPM'!$C$32</definedName>
    <definedName name="DIV_INT">'Simuler mon abondement SGPM'!$C$44</definedName>
    <definedName name="DIV_INT_2">'[2]Simuler mon abondement SGPM'!$C$32</definedName>
    <definedName name="DIV_INT_TER">'Maximiser mon abondement SGPM'!$C$32</definedName>
    <definedName name="DIV_PART" localSheetId="0">'[1]Simuler mon abondement SGPM'!$C$28</definedName>
    <definedName name="DIV_PART">'Simuler mon abondement SGPM'!$C$40</definedName>
    <definedName name="DIV_PART_2">'[2]Simuler mon abondement SGPM'!$C$28</definedName>
    <definedName name="DIV_PART_TER">'Maximiser mon abondement SGPM'!$C$28</definedName>
    <definedName name="DP_DIV" localSheetId="0">'[1]Simuler mon abondement SGPM'!$C$11</definedName>
    <definedName name="DP_DIV">'Simuler mon abondement SGPM'!$C$21</definedName>
    <definedName name="DP_DIV_2">'[2]Simuler mon abondement SGPM'!$C$11</definedName>
    <definedName name="DP_DIV_TER">'Maximiser mon abondement SGPM'!$C$11</definedName>
    <definedName name="DP_MUT_DIV" localSheetId="0">'[1]Simuler mon abondement SGPM'!$C$18</definedName>
    <definedName name="DP_MUT_DIV">'Simuler mon abondement SGPM'!$C$29</definedName>
    <definedName name="DP_MUT_DIV_2">'[2]Simuler mon abondement SGPM'!$C$18</definedName>
    <definedName name="DP_MUT_DIV_TER">'Maximiser mon abondement SGPM'!$C$18</definedName>
    <definedName name="DP_MUT_REL" localSheetId="0">'[1]Simuler mon abondement SGPM'!$C$17</definedName>
    <definedName name="DP_MUT_REL">'Simuler mon abondement SGPM'!$C$28</definedName>
    <definedName name="DP_MUT_REL_2">#REF!</definedName>
    <definedName name="DP_MUT_REL_3">'[2]Simuler mon abondement SGPM'!$C$17</definedName>
    <definedName name="DP_MUT_REL_TER">'Maximiser mon abondement SGPM'!$C$17</definedName>
    <definedName name="DP_REL" localSheetId="0">'[1]Simuler mon abondement SGPM'!$C$10</definedName>
    <definedName name="DP_REL">'Simuler mon abondement SGPM'!$C$20</definedName>
    <definedName name="DP_REL_2">'[2]Simuler mon abondement SGPM'!$C$10</definedName>
    <definedName name="DP_REL_TER">'Maximiser mon abondement SGPM'!$C$10</definedName>
    <definedName name="DP_REL2">#REF!</definedName>
    <definedName name="DV_DIV" localSheetId="0">'[1]Simuler mon abondement SGPM'!$C$8</definedName>
    <definedName name="DV_DIV">'Simuler mon abondement SGPM'!$C$12</definedName>
    <definedName name="DV_DIV_2">'[2]Simuler mon abondement SGPM'!$C$8</definedName>
    <definedName name="DV_DIV_BIS">#REF!</definedName>
    <definedName name="DV_DIV_TER">'Maximiser mon abondement SGPM'!$C$8</definedName>
    <definedName name="DV_REL" localSheetId="0">'[1]Simuler mon abondement SGPM'!$C$7</definedName>
    <definedName name="DV_REL">'Simuler mon abondement SGPM'!$C$11</definedName>
    <definedName name="DV_REL_2">'[2]Simuler mon abondement SGPM'!$C$7</definedName>
    <definedName name="DV_REL_BIS">#REF!</definedName>
    <definedName name="DV_REL_TER">'Maximiser mon abondement SGPM'!$C$7</definedName>
    <definedName name="INT" localSheetId="0">'[1]Simuler mon abondement SGPM'!$C$24</definedName>
    <definedName name="INT">'Simuler mon abondement SGPM'!$C$36</definedName>
    <definedName name="INT_2">'[2]Simuler mon abondement SGPM'!$C$24</definedName>
    <definedName name="INT_TER">'Maximiser mon abondement SGPM'!$C$24</definedName>
    <definedName name="PLFD_ENTITE">'Simuler mon abondement SGPM'!$S$10</definedName>
    <definedName name="RSP" localSheetId="0">'[1]Simuler mon abondement SGPM'!$C$23</definedName>
    <definedName name="RSP">'Simuler mon abondement SGPM'!$C$35</definedName>
    <definedName name="RSP_2">'[2]Simuler mon abondement SGPM'!$C$23</definedName>
    <definedName name="RSP_TER">'Maximiser mon abondement SGPM'!$C$23</definedName>
    <definedName name="Z_49BB82C4_E509_41D7_8598_FE67063C496F_.wvu.Cols" localSheetId="1" hidden="1">'Simuler mon abondement SGPM'!$I:$Z</definedName>
    <definedName name="Z_49BB82C4_E509_41D7_8598_FE67063C496F_.wvu.PrintArea" localSheetId="1" hidden="1">'Simuler mon abondement SGPM'!$A$1:$V$75</definedName>
    <definedName name="_xlnm.Print_Area" localSheetId="1">'Simuler mon abondement SGPM'!$A$1:$V$75</definedName>
  </definedNames>
  <calcPr calcId="191029"/>
  <customWorkbookViews>
    <customWorkbookView name="palvadeaua - Affichage personnalisé" guid="{49BB82C4-E509-41D7-8598-FE67063C496F}" mergeInterval="0" personalView="1" maximized="1" xWindow="1" yWindow="1" windowWidth="1676" windowHeight="7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2" l="1"/>
  <c r="C43" i="2"/>
  <c r="C44" i="2" s="1"/>
  <c r="C35" i="2"/>
  <c r="G17" i="8" l="1"/>
  <c r="D17" i="8"/>
  <c r="D23" i="8"/>
  <c r="D24" i="8"/>
  <c r="D25" i="8"/>
  <c r="D26" i="8"/>
  <c r="A26" i="2" l="1"/>
  <c r="A22" i="2"/>
  <c r="E59" i="7" l="1"/>
  <c r="C59" i="7"/>
  <c r="E31" i="7"/>
  <c r="E27" i="7"/>
  <c r="E23" i="7"/>
  <c r="V71" i="7" l="1"/>
  <c r="V70" i="7"/>
  <c r="V69" i="7"/>
  <c r="V28" i="7"/>
  <c r="V27" i="7"/>
  <c r="V26" i="7"/>
  <c r="C3" i="7"/>
  <c r="Q3" i="7" s="1"/>
  <c r="AB38" i="7"/>
  <c r="V38" i="7"/>
  <c r="AB37" i="7"/>
  <c r="V37" i="7"/>
  <c r="AB36" i="7"/>
  <c r="V36" i="7"/>
  <c r="C35" i="7"/>
  <c r="C33" i="7"/>
  <c r="C32" i="7"/>
  <c r="C31" i="7"/>
  <c r="C29" i="7"/>
  <c r="C28" i="7"/>
  <c r="C27" i="7"/>
  <c r="C24" i="7"/>
  <c r="C23" i="7"/>
  <c r="C90" i="7"/>
  <c r="P79" i="7"/>
  <c r="X66" i="7"/>
  <c r="D60" i="7"/>
  <c r="Q8" i="7"/>
  <c r="Q7" i="7"/>
  <c r="U6" i="7"/>
  <c r="D32" i="7" l="1"/>
  <c r="D31" i="7"/>
  <c r="D33" i="7"/>
  <c r="D29" i="7"/>
  <c r="D28" i="7"/>
  <c r="D27" i="7"/>
  <c r="L24" i="7"/>
  <c r="T79" i="7"/>
  <c r="Q40" i="7"/>
  <c r="L40" i="7"/>
  <c r="Q24" i="7"/>
  <c r="A18" i="2" l="1"/>
  <c r="D39" i="2"/>
  <c r="E23" i="8" s="1"/>
  <c r="F7" i="1"/>
  <c r="E43" i="2"/>
  <c r="E39" i="2"/>
  <c r="D45" i="2"/>
  <c r="D44" i="2"/>
  <c r="E26" i="8" s="1"/>
  <c r="D43" i="2"/>
  <c r="E25" i="8" s="1"/>
  <c r="D40" i="2"/>
  <c r="E24" i="8" s="1"/>
  <c r="D41" i="2"/>
  <c r="D29" i="8" l="1"/>
  <c r="D28" i="8"/>
  <c r="K7" i="1"/>
  <c r="E7" i="1"/>
  <c r="E8" i="1"/>
  <c r="E47" i="2"/>
  <c r="E35" i="2"/>
  <c r="L40" i="2"/>
  <c r="K8" i="1"/>
  <c r="L7" i="1"/>
  <c r="Q56" i="2"/>
  <c r="L56" i="2"/>
  <c r="Q40" i="2"/>
  <c r="S12" i="2"/>
  <c r="Q12" i="2"/>
  <c r="S11" i="2"/>
  <c r="Q11" i="2"/>
  <c r="Q3" i="2"/>
  <c r="L6" i="1"/>
  <c r="L8" i="1" s="1"/>
  <c r="L10" i="1" s="1"/>
  <c r="F6" i="1"/>
  <c r="V43" i="2"/>
  <c r="L5" i="1"/>
  <c r="F5" i="1"/>
  <c r="V42" i="2" s="1"/>
  <c r="I3" i="1"/>
  <c r="V44" i="2"/>
  <c r="C17" i="2" l="1"/>
  <c r="C16" i="2"/>
  <c r="C28" i="2"/>
  <c r="C29" i="2"/>
  <c r="C18" i="7" s="1"/>
  <c r="X78" i="2"/>
  <c r="F8" i="1"/>
  <c r="W82" i="2" l="1"/>
  <c r="W81" i="2"/>
  <c r="W80" i="2"/>
  <c r="E17" i="7"/>
  <c r="C17" i="7"/>
  <c r="C11" i="7"/>
  <c r="W62" i="2"/>
  <c r="W61" i="2" s="1"/>
  <c r="W60" i="2" s="1"/>
  <c r="E28" i="2"/>
  <c r="F10" i="1"/>
  <c r="W83" i="2" l="1"/>
  <c r="C12" i="2" s="1"/>
  <c r="C8" i="7" l="1"/>
  <c r="Q25" i="2"/>
  <c r="AB25" i="2"/>
  <c r="P27" i="2" l="1"/>
  <c r="P33" i="2" s="1"/>
  <c r="AA27" i="2"/>
  <c r="AA33" i="2" s="1"/>
  <c r="AA34" i="2" s="1"/>
  <c r="Q14" i="7"/>
  <c r="AC14" i="7"/>
  <c r="AB16" i="7" s="1"/>
  <c r="D110" i="7"/>
  <c r="R12" i="2"/>
  <c r="Q33" i="2" l="1"/>
  <c r="R33" i="2"/>
  <c r="P34" i="2"/>
  <c r="AA35" i="2"/>
  <c r="AC34" i="2"/>
  <c r="AB34" i="2"/>
  <c r="AC33" i="2"/>
  <c r="AB33" i="2"/>
  <c r="AB17" i="7"/>
  <c r="AD16" i="7"/>
  <c r="AC16" i="7"/>
  <c r="P16" i="7"/>
  <c r="Q87" i="7"/>
  <c r="AC27" i="2"/>
  <c r="AB27" i="2"/>
  <c r="P42" i="2"/>
  <c r="P43" i="2" s="1"/>
  <c r="R27" i="2"/>
  <c r="Q27" i="2"/>
  <c r="P58" i="2"/>
  <c r="P59" i="2" s="1"/>
  <c r="Q43" i="2" l="1"/>
  <c r="R43" i="2"/>
  <c r="R34" i="2"/>
  <c r="Q34" i="2"/>
  <c r="P44" i="2"/>
  <c r="P60" i="2"/>
  <c r="P89" i="7"/>
  <c r="P90" i="7" s="1"/>
  <c r="P42" i="7"/>
  <c r="Q16" i="7"/>
  <c r="P26" i="7"/>
  <c r="R16" i="7"/>
  <c r="AB18" i="7"/>
  <c r="AD17" i="7"/>
  <c r="AC17" i="7"/>
  <c r="R42" i="2"/>
  <c r="Q42" i="2"/>
  <c r="R59" i="2"/>
  <c r="Q59" i="2"/>
  <c r="P35" i="2"/>
  <c r="Q58" i="2"/>
  <c r="R58" i="2"/>
  <c r="P17" i="7"/>
  <c r="R60" i="2" l="1"/>
  <c r="R62" i="2" s="1"/>
  <c r="N73" i="2" s="1"/>
  <c r="Q73" i="2" s="1"/>
  <c r="Q60" i="2"/>
  <c r="Q62" i="2" s="1"/>
  <c r="R44" i="2"/>
  <c r="R47" i="2" s="1"/>
  <c r="N69" i="2" s="1"/>
  <c r="Q69" i="2" s="1"/>
  <c r="Q44" i="2"/>
  <c r="Q47" i="2" s="1"/>
  <c r="Q89" i="7"/>
  <c r="R89" i="7"/>
  <c r="Q26" i="7"/>
  <c r="R26" i="7"/>
  <c r="P46" i="2"/>
  <c r="P47" i="2" s="1"/>
  <c r="R90" i="7"/>
  <c r="Q90" i="7"/>
  <c r="R17" i="7"/>
  <c r="P27" i="7"/>
  <c r="Q17" i="7"/>
  <c r="P43" i="7"/>
  <c r="P18" i="7"/>
  <c r="R42" i="7"/>
  <c r="Q42" i="7"/>
  <c r="AD18" i="7"/>
  <c r="AC18" i="7"/>
  <c r="AB19" i="7"/>
  <c r="P61" i="2"/>
  <c r="P62" i="2" s="1"/>
  <c r="P92" i="7"/>
  <c r="Q43" i="7" l="1"/>
  <c r="R43" i="7"/>
  <c r="P44" i="7"/>
  <c r="P28" i="7"/>
  <c r="R18" i="7"/>
  <c r="Q18" i="7"/>
  <c r="Q27" i="7"/>
  <c r="R27" i="7"/>
  <c r="Q92" i="7"/>
  <c r="R92" i="7"/>
  <c r="P93" i="7"/>
  <c r="P19" i="7"/>
  <c r="P30" i="7" l="1"/>
  <c r="P31" i="7" s="1"/>
  <c r="R28" i="7"/>
  <c r="R31" i="7" s="1"/>
  <c r="Q28" i="7"/>
  <c r="Q31" i="7" s="1"/>
  <c r="P45" i="7"/>
  <c r="P46" i="7" s="1"/>
  <c r="R44" i="7"/>
  <c r="R46" i="7" s="1"/>
  <c r="Q44" i="7"/>
  <c r="Q46" i="7" s="1"/>
  <c r="T11" i="2" l="1"/>
  <c r="V60" i="2"/>
  <c r="V61" i="2" s="1"/>
  <c r="V44" i="7"/>
  <c r="R8" i="7"/>
  <c r="T12" i="2"/>
  <c r="R7" i="7"/>
  <c r="U12" i="2"/>
  <c r="U11" i="2"/>
  <c r="R11" i="2"/>
  <c r="U8" i="7"/>
  <c r="U7" i="7"/>
  <c r="C10" i="7"/>
  <c r="X68" i="2"/>
  <c r="W71" i="2" s="1"/>
  <c r="W72" i="2"/>
  <c r="S6" i="7" l="1"/>
  <c r="S8" i="7" s="1"/>
  <c r="T8" i="7" s="1"/>
  <c r="W70" i="2"/>
  <c r="W73" i="2" s="1"/>
  <c r="C11" i="2" s="1"/>
  <c r="V62" i="2"/>
  <c r="N79" i="7"/>
  <c r="Q79" i="7" s="1"/>
  <c r="V45" i="7"/>
  <c r="V46" i="7" s="1"/>
  <c r="N52" i="7"/>
  <c r="Q52" i="7" s="1"/>
  <c r="N62" i="7"/>
  <c r="Q62" i="7" s="1"/>
  <c r="S7" i="7" l="1"/>
  <c r="T7" i="7" s="1"/>
  <c r="W46" i="7"/>
  <c r="W45" i="7" s="1"/>
  <c r="W14" i="7"/>
  <c r="V16" i="7" s="1"/>
  <c r="E11" i="2"/>
  <c r="E7" i="7"/>
  <c r="C7" i="7"/>
  <c r="D109" i="7" s="1"/>
  <c r="C92" i="7"/>
  <c r="W25" i="2"/>
  <c r="L25" i="2"/>
  <c r="K27" i="2" s="1"/>
  <c r="O79" i="7"/>
  <c r="R79" i="7" s="1"/>
  <c r="V17" i="7" l="1"/>
  <c r="X17" i="7" s="1"/>
  <c r="W44" i="7"/>
  <c r="V27" i="2"/>
  <c r="V33" i="2" s="1"/>
  <c r="V34" i="2" s="1"/>
  <c r="L14" i="7"/>
  <c r="K16" i="7" s="1"/>
  <c r="K42" i="2"/>
  <c r="K58" i="2"/>
  <c r="L27" i="2"/>
  <c r="M27" i="2"/>
  <c r="X16" i="7"/>
  <c r="W16" i="7"/>
  <c r="K33" i="2"/>
  <c r="W27" i="2"/>
  <c r="X27" i="2"/>
  <c r="V18" i="7" l="1"/>
  <c r="V19" i="7" s="1"/>
  <c r="W17" i="7"/>
  <c r="X33" i="2"/>
  <c r="W33" i="2"/>
  <c r="L87" i="7"/>
  <c r="K89" i="7" s="1"/>
  <c r="K17" i="7"/>
  <c r="K18" i="7" s="1"/>
  <c r="X34" i="2"/>
  <c r="W34" i="2"/>
  <c r="V35" i="2"/>
  <c r="M58" i="2"/>
  <c r="L58" i="2"/>
  <c r="L42" i="2"/>
  <c r="M42" i="2"/>
  <c r="K59" i="2"/>
  <c r="L33" i="2"/>
  <c r="M33" i="2"/>
  <c r="K43" i="2"/>
  <c r="K34" i="2"/>
  <c r="K35" i="2" s="1"/>
  <c r="K26" i="7"/>
  <c r="K42" i="7"/>
  <c r="K43" i="7" s="1"/>
  <c r="L16" i="7"/>
  <c r="M16" i="7"/>
  <c r="W18" i="7" l="1"/>
  <c r="X18" i="7"/>
  <c r="M17" i="7"/>
  <c r="K27" i="7"/>
  <c r="K28" i="7" s="1"/>
  <c r="L17" i="7"/>
  <c r="L43" i="2"/>
  <c r="M43" i="2"/>
  <c r="L43" i="7"/>
  <c r="M43" i="7"/>
  <c r="L42" i="7"/>
  <c r="M42" i="7"/>
  <c r="L26" i="7"/>
  <c r="M26" i="7"/>
  <c r="L89" i="7"/>
  <c r="M89" i="7"/>
  <c r="L18" i="7"/>
  <c r="K44" i="7"/>
  <c r="M18" i="7"/>
  <c r="K19" i="7"/>
  <c r="L59" i="2"/>
  <c r="M59" i="2"/>
  <c r="K90" i="7"/>
  <c r="L34" i="2"/>
  <c r="M34" i="2"/>
  <c r="K44" i="2"/>
  <c r="K60" i="2"/>
  <c r="L27" i="7" l="1"/>
  <c r="M27" i="7"/>
  <c r="K46" i="2"/>
  <c r="K47" i="2" s="1"/>
  <c r="L28" i="7"/>
  <c r="M28" i="7"/>
  <c r="L44" i="7"/>
  <c r="L46" i="7" s="1"/>
  <c r="M44" i="7"/>
  <c r="M46" i="7" s="1"/>
  <c r="N61" i="7" s="1"/>
  <c r="M90" i="7"/>
  <c r="L90" i="7"/>
  <c r="K92" i="7"/>
  <c r="K93" i="7" s="1"/>
  <c r="M60" i="2"/>
  <c r="M62" i="2" s="1"/>
  <c r="N72" i="2" s="1"/>
  <c r="L60" i="2"/>
  <c r="L62" i="2" s="1"/>
  <c r="K61" i="2"/>
  <c r="K62" i="2" s="1"/>
  <c r="K30" i="7"/>
  <c r="K31" i="7" s="1"/>
  <c r="L44" i="2"/>
  <c r="L47" i="2" s="1"/>
  <c r="M44" i="2"/>
  <c r="M47" i="2" s="1"/>
  <c r="N68" i="2" s="1"/>
  <c r="K45" i="7"/>
  <c r="K46" i="7" s="1"/>
  <c r="L31" i="7" l="1"/>
  <c r="M31" i="7"/>
  <c r="N51" i="7" s="1"/>
  <c r="O51" i="7" s="1"/>
  <c r="O61" i="7"/>
  <c r="Q61" i="7"/>
  <c r="O68" i="2"/>
  <c r="Q68" i="2"/>
  <c r="L92" i="7"/>
  <c r="M92" i="7"/>
  <c r="Q72" i="2"/>
  <c r="O72" i="2"/>
  <c r="Q51" i="7" l="1"/>
  <c r="P72" i="2"/>
  <c r="R72" i="2"/>
  <c r="O73" i="2"/>
  <c r="R73" i="2" s="1"/>
  <c r="R51" i="7"/>
  <c r="P51" i="7"/>
  <c r="T51" i="7" s="1"/>
  <c r="O52" i="7"/>
  <c r="R52" i="7" s="1"/>
  <c r="O69" i="2"/>
  <c r="R69" i="2" s="1"/>
  <c r="R68" i="2"/>
  <c r="P68" i="2"/>
  <c r="R61" i="7"/>
  <c r="P61" i="7"/>
  <c r="O62" i="7"/>
  <c r="R62" i="7" s="1"/>
  <c r="P62" i="7" l="1"/>
  <c r="T62" i="7" s="1"/>
  <c r="P73" i="2"/>
  <c r="T73" i="2" s="1"/>
  <c r="T68" i="2"/>
  <c r="D52" i="2" s="1"/>
  <c r="C52" i="2"/>
  <c r="T61" i="7"/>
  <c r="P52" i="7"/>
  <c r="T52" i="7" s="1"/>
  <c r="P69" i="2"/>
  <c r="T72" i="2"/>
  <c r="X44" i="7" l="1"/>
  <c r="Y44" i="7" s="1"/>
  <c r="AA44" i="7" s="1"/>
  <c r="X60" i="2"/>
  <c r="Y60" i="2" s="1"/>
  <c r="Z60" i="2" s="1"/>
  <c r="E40" i="7"/>
  <c r="C60" i="2"/>
  <c r="D40" i="7"/>
  <c r="C53" i="2"/>
  <c r="C55" i="2" s="1"/>
  <c r="D19" i="8" s="1"/>
  <c r="T69" i="2"/>
  <c r="D53" i="2" s="1"/>
  <c r="E41" i="7" s="1"/>
  <c r="X45" i="7" l="1"/>
  <c r="Y45" i="7" s="1"/>
  <c r="X61" i="2"/>
  <c r="D43" i="7"/>
  <c r="K65" i="7" s="1"/>
  <c r="X24" i="7" s="1"/>
  <c r="L76" i="2"/>
  <c r="X40" i="2" s="1"/>
  <c r="D48" i="7"/>
  <c r="V40" i="2"/>
  <c r="D60" i="2"/>
  <c r="D55" i="2"/>
  <c r="C61" i="2"/>
  <c r="C63" i="2" s="1"/>
  <c r="D51" i="7" s="1"/>
  <c r="D41" i="7"/>
  <c r="E43" i="7" l="1"/>
  <c r="D20" i="8"/>
  <c r="D30" i="8" s="1"/>
  <c r="X46" i="7"/>
  <c r="Y46" i="7" s="1"/>
  <c r="AA46" i="7" s="1"/>
  <c r="Y61" i="2"/>
  <c r="X62" i="2"/>
  <c r="Y62" i="2" s="1"/>
  <c r="Z62" i="2" s="1"/>
  <c r="W42" i="2"/>
  <c r="X42" i="2" s="1"/>
  <c r="Y42" i="2" s="1"/>
  <c r="W44" i="2"/>
  <c r="W43" i="2"/>
  <c r="AA45" i="7"/>
  <c r="D116" i="7"/>
  <c r="D111" i="7" s="1"/>
  <c r="D112" i="7"/>
  <c r="D61" i="2"/>
  <c r="E49" i="7" s="1"/>
  <c r="D49" i="7"/>
  <c r="AB34" i="7" s="1"/>
  <c r="E48" i="7"/>
  <c r="D119" i="7"/>
  <c r="E119" i="7" s="1"/>
  <c r="V34" i="7"/>
  <c r="V24" i="7"/>
  <c r="V66" i="7"/>
  <c r="D63" i="2" l="1"/>
  <c r="E51" i="7" s="1"/>
  <c r="Y47" i="7"/>
  <c r="AA47" i="7"/>
  <c r="X43" i="2"/>
  <c r="Y43" i="2" s="1"/>
  <c r="Z61" i="2"/>
  <c r="Z63" i="2" s="1"/>
  <c r="Y63" i="2"/>
  <c r="W70" i="7"/>
  <c r="W71" i="7"/>
  <c r="W69" i="7"/>
  <c r="X69" i="7" s="1"/>
  <c r="AC36" i="7"/>
  <c r="AC38" i="7"/>
  <c r="AC37" i="7"/>
  <c r="W28" i="7"/>
  <c r="W27" i="7"/>
  <c r="W26" i="7"/>
  <c r="X26" i="7" s="1"/>
  <c r="W36" i="7"/>
  <c r="W38" i="7"/>
  <c r="W37" i="7"/>
  <c r="D65" i="7"/>
  <c r="X44" i="2" l="1"/>
  <c r="Y44" i="2" s="1"/>
  <c r="C49" i="2" s="1"/>
  <c r="C37" i="7" s="1"/>
  <c r="C119" i="7" s="1"/>
  <c r="AD34" i="7"/>
  <c r="AD36" i="7" s="1"/>
  <c r="AE36" i="7" s="1"/>
  <c r="E65" i="7"/>
  <c r="D113" i="7"/>
  <c r="D64" i="7" s="1"/>
  <c r="X70" i="7"/>
  <c r="X71" i="7" s="1"/>
  <c r="Y26" i="7"/>
  <c r="X27" i="7"/>
  <c r="Y27" i="7" s="1"/>
  <c r="X34" i="7" l="1"/>
  <c r="D66" i="7"/>
  <c r="D68" i="7" s="1"/>
  <c r="E64" i="7"/>
  <c r="E66" i="7" s="1"/>
  <c r="E68" i="7" s="1"/>
  <c r="X28" i="7"/>
  <c r="Y28" i="7" s="1"/>
  <c r="AD37" i="7"/>
  <c r="AE37" i="7" s="1"/>
  <c r="AD38" i="7" l="1"/>
  <c r="AE38" i="7" s="1"/>
  <c r="C65" i="7" s="1"/>
  <c r="C89" i="7" s="1"/>
  <c r="X36" i="7"/>
  <c r="Y36" i="7" s="1"/>
  <c r="C88" i="7" l="1"/>
  <c r="L98" i="7" s="1"/>
  <c r="Q98" i="7"/>
  <c r="X37" i="7"/>
  <c r="Y37" i="7" s="1"/>
  <c r="X38" i="7" l="1"/>
  <c r="Y38" i="7" s="1"/>
  <c r="C64" i="7" s="1"/>
  <c r="C66" i="7" s="1"/>
  <c r="P100" i="7"/>
  <c r="K100" i="7"/>
  <c r="C68" i="7" l="1"/>
  <c r="G26" i="8"/>
  <c r="L100" i="7"/>
  <c r="M100" i="7"/>
  <c r="Q100" i="7"/>
  <c r="R100" i="7"/>
  <c r="P101" i="7"/>
  <c r="K101" i="7"/>
  <c r="M101" i="7" l="1"/>
  <c r="L101" i="7"/>
  <c r="K102" i="7"/>
  <c r="Q101" i="7"/>
  <c r="R101" i="7"/>
  <c r="P102" i="7"/>
  <c r="L102" i="7" l="1"/>
  <c r="M102" i="7"/>
  <c r="K104" i="7"/>
  <c r="K105" i="7" s="1"/>
  <c r="R102" i="7"/>
  <c r="R105" i="7" s="1"/>
  <c r="Q102" i="7"/>
  <c r="P104" i="7"/>
  <c r="P105" i="7" s="1"/>
  <c r="D89" i="7" l="1"/>
  <c r="Q105" i="7"/>
  <c r="E89" i="7" s="1"/>
  <c r="M105" i="7"/>
  <c r="L105" i="7" l="1"/>
  <c r="E88" i="7" s="1"/>
  <c r="E90" i="7" s="1"/>
  <c r="E92" i="7" s="1"/>
  <c r="D88" i="7"/>
  <c r="D90" i="7" s="1"/>
  <c r="D92" i="7" s="1"/>
</calcChain>
</file>

<file path=xl/sharedStrings.xml><?xml version="1.0" encoding="utf-8"?>
<sst xmlns="http://schemas.openxmlformats.org/spreadsheetml/2006/main" count="541" uniqueCount="227">
  <si>
    <t>DIV PEE</t>
  </si>
  <si>
    <t>P1</t>
  </si>
  <si>
    <t>T1</t>
  </si>
  <si>
    <t>T2</t>
  </si>
  <si>
    <t>P2</t>
  </si>
  <si>
    <t>T3</t>
  </si>
  <si>
    <t>P3</t>
  </si>
  <si>
    <t>FONDS DIVERSIFIES</t>
  </si>
  <si>
    <t>VVAK</t>
  </si>
  <si>
    <t>ABDTAK (net)</t>
  </si>
  <si>
    <t>ABDTAK (brut)</t>
  </si>
  <si>
    <t>VVDIV</t>
  </si>
  <si>
    <t>ABDTDIV (net)</t>
  </si>
  <si>
    <t>ABDTDIV (brut)</t>
  </si>
  <si>
    <t>Non abondé</t>
  </si>
  <si>
    <t>Montant affecté :</t>
  </si>
  <si>
    <t>Coefficient fiscal :</t>
  </si>
  <si>
    <t>Abondement aux fonds diversifiés du PEE/PEG :</t>
  </si>
  <si>
    <t>Plafonds</t>
  </si>
  <si>
    <t>Paramétrage de l'entité</t>
  </si>
  <si>
    <t>Plafond réel</t>
  </si>
  <si>
    <t>Plafond théor.</t>
  </si>
  <si>
    <t>Plafond global théor.</t>
  </si>
  <si>
    <t>Etes vous résident fiscal en France ?</t>
  </si>
  <si>
    <t>OUI</t>
  </si>
  <si>
    <t>Global brut</t>
  </si>
  <si>
    <t>Global net</t>
  </si>
  <si>
    <t>Indiv net</t>
  </si>
  <si>
    <t>Indiv brut</t>
  </si>
  <si>
    <t>Légal brut</t>
  </si>
  <si>
    <t>Légal net</t>
  </si>
  <si>
    <t>Plafond légal brut</t>
  </si>
  <si>
    <t>Plafond global réel</t>
  </si>
  <si>
    <t>Vérification des plafonds (Déjà versé + Versé à l'AK)</t>
  </si>
  <si>
    <t>Déjà Versé</t>
  </si>
  <si>
    <t>Vérification des plafonds (Déjà versé + P+I)</t>
  </si>
  <si>
    <t>Versé à l'AK</t>
  </si>
  <si>
    <t xml:space="preserve"> P+I</t>
  </si>
  <si>
    <t>Abondement restant à obtenir</t>
  </si>
  <si>
    <t>Versement à effectuer pour l'obtenir</t>
  </si>
  <si>
    <t>Abondement déjà perçu</t>
  </si>
  <si>
    <t>Abondement déjà perçu dans une autre entité</t>
  </si>
  <si>
    <t>Abondement perçu dans le cadre de l'AK</t>
  </si>
  <si>
    <t>VOS VERSEMENTS DÉJÀ EFFECTUES ET ABONDEMENTS DÉJÀ PERCUS AU SEIN DE VOTRE ENTREPRISE ACTUELLE * :</t>
  </si>
  <si>
    <t>MONTANT BRUT</t>
  </si>
  <si>
    <t>MONTANT NET</t>
  </si>
  <si>
    <t>ACTIONNARIAT</t>
  </si>
  <si>
    <t>FONDS ACTIONNARIAT</t>
  </si>
  <si>
    <t>Abondement au fonds ACTIONNARIAT SG:</t>
  </si>
  <si>
    <t>TRANCHE</t>
  </si>
  <si>
    <t>TAUX</t>
  </si>
  <si>
    <t>VERSEMENT COLLABORATEUR</t>
  </si>
  <si>
    <t>1.</t>
  </si>
  <si>
    <t>0 A 200 €</t>
  </si>
  <si>
    <t>2.</t>
  </si>
  <si>
    <t>201 A 1000 €</t>
  </si>
  <si>
    <t>3.</t>
  </si>
  <si>
    <t>&gt; 1000 €</t>
  </si>
  <si>
    <t>TOTAL</t>
  </si>
  <si>
    <t>Plafond d'abondement net</t>
  </si>
  <si>
    <t>VOTRE CHOIX DE REPARTITION DANS LES DIFFERENTS TYPES DE FONDS (EN %) DANS LES CASES GRIS CLAIR CI-DESSOUS :</t>
  </si>
  <si>
    <r>
      <t xml:space="preserve">POUR CONNAITRE LE MONTANT DE VOTRE ABONDEMENT NET, MERCI DE SAISIR VOS DONNEES DANS LES CASES EN GRIS CLAIR :
</t>
    </r>
    <r>
      <rPr>
        <sz val="11"/>
        <color indexed="8"/>
        <rFont val="Calibri"/>
        <family val="2"/>
      </rPr>
      <t>/!\ Pour savoir quels montants verser pour toucher la totalité de votre abondement merci de cliquer sur l'onglet "POLITIQUE D'ABONDEMENT SGPM".</t>
    </r>
  </si>
  <si>
    <t>Montant net de participation : Montant brut déduction faite de la CSG et CRDS (taux à 9.7%)</t>
  </si>
  <si>
    <t>ABONDEMENT BRUT</t>
  </si>
  <si>
    <t>Montant total d'abondement cumulé à ce jour chez SGPM (incluant l'abondement déjà perçu)</t>
  </si>
  <si>
    <t>Rétro calcul VV optimisation</t>
  </si>
  <si>
    <t>Abondement brut restant</t>
  </si>
  <si>
    <t>Grille théorique pour recalcule DP SGPM</t>
  </si>
  <si>
    <t>Grille abondement Relais pour restant à verser</t>
  </si>
  <si>
    <t>Déjà perçu</t>
  </si>
  <si>
    <t>A atteindre</t>
  </si>
  <si>
    <t>Abondement tranche</t>
  </si>
  <si>
    <t>Abondement tranche dispo</t>
  </si>
  <si>
    <t>Ventilation</t>
  </si>
  <si>
    <t>Versement correspondant</t>
  </si>
  <si>
    <t>Simulateur d'abondement SGPM</t>
  </si>
  <si>
    <t>Pour accéder au simulateur, cliquer sur l'onglet</t>
  </si>
  <si>
    <t>FONDS D'ACTIONNARIAT (FONDS E / FONDS RELAIS)
ANNEE AVEC PMAS</t>
  </si>
  <si>
    <t>FONDS DIVERSIFIES
ANNEE AVEC PMAS</t>
  </si>
  <si>
    <t>Montant restant à investir en fonds d’actionnariat pour percevoir le plafond annuel d’abondement total du PEE</t>
  </si>
  <si>
    <t>RAPPEL: Les plafonds d’abondement des fonds « diversifiés » et du fonds d’actionnariat ne se cumulent pas, ainsi l’abondement brut maximum annuel est de 2 200 €.</t>
  </si>
  <si>
    <r>
      <rPr>
        <b/>
        <sz val="11"/>
        <rFont val="Calibri"/>
        <family val="2"/>
        <scheme val="minor"/>
      </rPr>
      <t>Pourcentage participation</t>
    </r>
    <r>
      <rPr>
        <sz val="11"/>
        <rFont val="Calibri"/>
        <family val="2"/>
        <scheme val="minor"/>
      </rPr>
      <t xml:space="preserve"> en fonds diversifiés du PEE</t>
    </r>
  </si>
  <si>
    <r>
      <rPr>
        <b/>
        <sz val="11"/>
        <rFont val="Calibri"/>
        <family val="2"/>
        <scheme val="minor"/>
      </rPr>
      <t>Pourcentage participation</t>
    </r>
    <r>
      <rPr>
        <sz val="11"/>
        <rFont val="Calibri"/>
        <family val="2"/>
        <scheme val="minor"/>
      </rPr>
      <t xml:space="preserve"> en compte à vue</t>
    </r>
  </si>
  <si>
    <r>
      <rPr>
        <b/>
        <sz val="11"/>
        <rFont val="Calibri"/>
        <family val="2"/>
        <scheme val="minor"/>
      </rPr>
      <t>Pourcentage intéressement</t>
    </r>
    <r>
      <rPr>
        <sz val="11"/>
        <rFont val="Calibri"/>
        <family val="2"/>
        <scheme val="minor"/>
      </rPr>
      <t xml:space="preserve"> en compte à vue</t>
    </r>
  </si>
  <si>
    <r>
      <t xml:space="preserve">Versements déjà effectués en PEE sur fonds Société Générale Actionnariat (fonds E) avant le </t>
    </r>
    <r>
      <rPr>
        <sz val="12"/>
        <rFont val="Calibri"/>
        <family val="2"/>
      </rPr>
      <t>21 avril 2023</t>
    </r>
  </si>
  <si>
    <r>
      <t xml:space="preserve">Versements déjà effectués en PEE sur fonds diversifiés effectué avant le </t>
    </r>
    <r>
      <rPr>
        <sz val="12"/>
        <rFont val="Calibri"/>
        <family val="2"/>
      </rPr>
      <t>21 avril 2023</t>
    </r>
  </si>
  <si>
    <t>Abondement brut perçu sur le Fonds E chez votre ancien employeur entité SG (hors SGPM) avant le 3 mai 2023</t>
  </si>
  <si>
    <t>Abondement brut perçu hors Fonds E chez votre ancien employeur entité (SG ou non) avant le 3 mai 2023</t>
  </si>
  <si>
    <r>
      <rPr>
        <b/>
        <sz val="11"/>
        <rFont val="Calibri"/>
        <family val="2"/>
        <scheme val="minor"/>
      </rPr>
      <t>Pourcentage participation</t>
    </r>
    <r>
      <rPr>
        <sz val="11"/>
        <rFont val="Calibri"/>
        <family val="2"/>
        <scheme val="minor"/>
      </rPr>
      <t xml:space="preserve"> en fonds Relais Société Générale 2023</t>
    </r>
  </si>
  <si>
    <t>Versements volontaires et arbitrages en fonds Relais Société Générale 2023</t>
  </si>
  <si>
    <t>Montant restant à investir pour maximiser l'abondement sur le fonds Société Générale Actionnariat (fonds E) uniquement</t>
  </si>
  <si>
    <t>Option n°2</t>
  </si>
  <si>
    <t>Réf pour barre défilement</t>
  </si>
  <si>
    <t>Ref pour variation équilibre Div / E</t>
  </si>
  <si>
    <t>Faire varier ici - F81 correspond à la case ci-dessus (Cas Div - Pafond Div)</t>
  </si>
  <si>
    <t>Cas E - Pafond Fonds E</t>
  </si>
  <si>
    <t>Cas Div - Pafond Fonds E</t>
  </si>
  <si>
    <t>Faire varier ici</t>
  </si>
  <si>
    <t>Cas Div - Pafond Div</t>
  </si>
  <si>
    <t>Total versements Div</t>
  </si>
  <si>
    <t>Total versements Fonds E</t>
  </si>
  <si>
    <t>Ajouter limitzation plafinds déjà perçu</t>
  </si>
  <si>
    <t xml:space="preserve">Elements de calcul optimisation </t>
  </si>
  <si>
    <t>Montant déjà affecté :</t>
  </si>
  <si>
    <t>Raccourrir la taille des colonnes E F G</t>
  </si>
  <si>
    <t>Reformuler l'encart</t>
  </si>
  <si>
    <t>Recalcul Avec limitation versement - Versement</t>
  </si>
  <si>
    <t>Raccourcir la taille de la colonne D au maximum</t>
  </si>
  <si>
    <t>Supprimer les colonnes B et C et</t>
  </si>
  <si>
    <t>Total</t>
  </si>
  <si>
    <t>Montant abondement net</t>
  </si>
  <si>
    <t>Montant abondement brut</t>
  </si>
  <si>
    <t>Grille abondement Relais pour cas limitation versement</t>
  </si>
  <si>
    <t>Montant d'abondement sur les fonds diversifiés (incluant l'abondement déjà perçu)</t>
  </si>
  <si>
    <t>Montant d'abondement sur le fonds Société Générale Actionnariat - Fonds E (incluant l'abondement déjà perçu)</t>
  </si>
  <si>
    <t>MONTANT D'ABONDEMENT TOTAL SGPM EN 2021  :</t>
  </si>
  <si>
    <t xml:space="preserve">Montant total d'abondement perçu lors de l’affectation des primes P+I </t>
  </si>
  <si>
    <t>Montant d'abondement sur les fonds diversifiés (hors abondement déjà perçu)</t>
  </si>
  <si>
    <t>Montant d'abondement sur le fonds Société Générale Actionnariat (Fonds E) (hors abondement déjà perçu)</t>
  </si>
  <si>
    <t>MONTANT TOTAL D’ABONDEMENT SUR VOS PRIMES PARTICIPATION ET INTERESSEMENT EN 2021 :</t>
  </si>
  <si>
    <t>A MASQUER PAS de PMAS</t>
  </si>
  <si>
    <t>Versements volontaires et arbitrages en fonds Relais Société Générale 2019</t>
  </si>
  <si>
    <t>Pourcentage intéressement  en compte à vue</t>
  </si>
  <si>
    <t>FONDS DIVERSIFIES (Option 1)</t>
  </si>
  <si>
    <t>FONDS ACTIONNARIAT (Option 1)</t>
  </si>
  <si>
    <t>Pourcentage intéressement en fonds diversifiés</t>
  </si>
  <si>
    <t>Pourcentage intéressement en fonds Société Générale Actionnariat (Fonds E)</t>
  </si>
  <si>
    <t>Pourcentage participation en compte à vue</t>
  </si>
  <si>
    <t>Pourcentage participation en fonds diversifiés</t>
  </si>
  <si>
    <t>Pourcentage participation en fonds Société Générale Actionnariat (Fonds E)</t>
  </si>
  <si>
    <t>Montant net d'intéressement : Montant brut déduction faite de la CSG et CRDS (taux à 9.7%)</t>
  </si>
  <si>
    <t>FONDS ACTIONNARIAT (PMAS et Option 2 sans PMAS)</t>
  </si>
  <si>
    <t>VOS MONTANTS DE PRIMES DE PARTICIPATION ET D'INTERESSEMENT EN 2021 :</t>
  </si>
  <si>
    <t>Abondement brut perçu chez votre ancien employeur, dans tous les fonds (hors le fonds Actionnariat, Fonds E, de Société Générale) avant le 5 mai 2021</t>
  </si>
  <si>
    <t>Abondement brut perçu chez votre ancien employeur, entité Société Générale, en fonds Société Générale Actionnariat (Fonds E) avant le 5 mai 2021</t>
  </si>
  <si>
    <t>SI VOUS BENEFICIEZ D'ABONDEMENT DÉJÀ PERCU EN 2021 AU SEIN DES DIFFERENTS DISPOSITIFS (PEE, PEG, PEI) DE VOS PRECEDENTS EMPLOYEURS (SOCIETE GENERALE OU NON), MERCI DE PRECISER CI-DESSOUS :</t>
  </si>
  <si>
    <t>*Vous retrouvez ces informations sur le site d'affectation dans la section "Mon Profil".</t>
  </si>
  <si>
    <r>
      <t>Abondement brut perçu en PEE sur versement en fonds diversifiés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avant le 5 mai 2021</t>
    </r>
  </si>
  <si>
    <t>Abondement brut perçu en PEE sur versement en fonds Société Générale Actionnariat (Fonds E) avant le 5 mai 2021</t>
  </si>
  <si>
    <r>
      <t>Versements déjà effectués en PEE sur fonds diversifiés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avant le 21 avril 2021</t>
    </r>
  </si>
  <si>
    <t>Versements déjà effectués en PEE sur fonds Société Générale Actionnariat (Fonds E) avant le 21 avril 2021</t>
  </si>
  <si>
    <r>
      <t xml:space="preserve">COMMENT MAXIMISER VOTRE ABONDEMENT SGPM ANNUEL ? UTILISER LES FLECHES DANS LES CASES EN GRIS CLAIR 
</t>
    </r>
    <r>
      <rPr>
        <sz val="11"/>
        <color indexed="8"/>
        <rFont val="Calibri"/>
        <family val="2"/>
        <scheme val="minor"/>
      </rPr>
      <t>/!\ Pour savoir quels montants verser pour toucher la totalité de votre abondement merci de cliquer sur l'onglet "POLITIQUE D'ABONDEMENT SGPM".</t>
    </r>
  </si>
  <si>
    <t>REGLES D'ABONDEMENT DU PEE SGPM</t>
  </si>
  <si>
    <r>
      <t xml:space="preserve">Avez-vous déjà perçu un </t>
    </r>
    <r>
      <rPr>
        <b/>
        <sz val="12"/>
        <rFont val="Calibri"/>
        <family val="2"/>
        <scheme val="minor"/>
      </rPr>
      <t>abondement en 2023, entre le 01/01 et le 03/05 :</t>
    </r>
  </si>
  <si>
    <t>chez SGPM ?</t>
  </si>
  <si>
    <t>chez un précédent employeur (hors SGPM ) ?</t>
  </si>
  <si>
    <t>Vous trouverez ces informations sur le compte PEE/PEG/PEI de votre ancien employeur</t>
  </si>
  <si>
    <t>Pour obtenir le plafond d'abondement 2023 du PEE SGPM, simulez vos versements complémentaires dans l'onglet "Maximiser mon abondement SGPM"</t>
  </si>
  <si>
    <t>/!\ Pour savoir quels montants verser pour toucher la totalité de votre abondement, consultez l'onglet "POLITIQUE D'ABONDEMENT SGPM"</t>
  </si>
  <si>
    <t>COMMENT MAXIMISER VOTRE ABONDEMENT DU PEE SGPM EN 2023 ? UTILISER LES FLECHES DANS LES CASES EN GRIS CLAIR</t>
  </si>
  <si>
    <t>SUITE A L'AFFECTATION DE VOS PRIMES DE P+I, COMBIEN DEVEZ-VOUS VERSER POUR ATTEINDRE LE PLAFOND D'ABONDEMENT ANNUEL DU PEE SGPM EN 2023 ?</t>
  </si>
  <si>
    <t>Choississez la répartition de votre versement volontaire à faire entre fonds d'actionnariat (Fonds Relais pendant le PMAS ou Fonds E après le PMAS) et fonds diversifiés, en déplaçant le curseur vers la gauche (plus de fonds d'Actionnariat) ou vers la droite (plus de fonds diversifiés)</t>
  </si>
  <si>
    <t>Pour atteindre le plafond d'abondement annuel du PEE SGPM en 2023, vous devez y verser d'ici le 31/12/2023 :</t>
  </si>
  <si>
    <t>sur le fonds Relais (sous forme de versement volontaire et/ou arbitrage d'avoirs disponibles réalisé pendant la période de souscription au PMAS) et/ou sur le fonds E (sous forme de versement volontaire réalisé après la période de souscription au PMAS)</t>
  </si>
  <si>
    <t>et/ou sur les fonds diversifiés</t>
  </si>
  <si>
    <t>Récapitulatif de vos investissements 2023 dans le PEE SGPM (P+I, versements volontaires, arbitrage d'avoirs disponibles) et abondement associé</t>
  </si>
  <si>
    <t>ETES-VOUS EN CAPACITE DE VERSER CE MONTANT D'ICI LE 31/12/2023 ?</t>
  </si>
  <si>
    <t>Si NON, saisir le montant des versements que vous pouvez effectuer d'ici le 31/12/2023 :</t>
  </si>
  <si>
    <t>puis cliquez sur les flèches ci-dessus pour modifier la répartition</t>
  </si>
  <si>
    <t>Saisissez le montant d'abondement NET de prélèvements sociaux perçu dans le PEE SGPM en fonds d'Actionnariat (fonds E)</t>
  </si>
  <si>
    <t>Saisissez le montant d'abondement NET de prélèvements sociaux perçu dans le PEE SGPM en fonds diversifiés</t>
  </si>
  <si>
    <t>Saisissez le montant d'abondement NET de prélèvements sociaux perçu dans le PEE de votre ancien employeur (hors SGPM) en fonds d'Actionnariat (fonds E) du PEG SG</t>
  </si>
  <si>
    <t>Saisissez le montant d'abondement NET de prélèvements sociaux perçu dans le PEE/PEG/PEI de votre ancien employeur (hors SGPM) en fonds diversifiés</t>
  </si>
  <si>
    <t>Calcul VV effectué sur base ABDT perçu</t>
  </si>
  <si>
    <t>Abdt DP  :</t>
  </si>
  <si>
    <t>VOS MONTANTS DE PRIMES DE PARTICIPATION ET D'INTERESSEMENT * EN 2023 :</t>
  </si>
  <si>
    <t>* y compris supplément d’intéressement</t>
  </si>
  <si>
    <t>MONTANT TOTAL D’ABONDEMENT SUR VOS PRIMES DE PARTICIPATION ET INTERESSEMENT* EN 2023 :</t>
  </si>
  <si>
    <t>Montant d'abondement sur le fonds Relais Société Générale 2023 du PEE SGPM (hors abondement déjà perçu)</t>
  </si>
  <si>
    <t>Montant d'abondement sur les fonds diversifiés du PEE SGPM (hors abondement déjà perçu)</t>
  </si>
  <si>
    <t>Montant total d'abondement perçu dans le PEE SGPM suite à l’affectation de vos primes de P+I</t>
  </si>
  <si>
    <t>MONTANT D'ABONDEMENT TOTAL PEE SGPM EN 2023  :</t>
  </si>
  <si>
    <t>Montant d'abondement sur le fonds d'actionnariat (fonds E ou fonds Relais Société Générale 2023) du PEE SGPM (incluant l'abondement déjà perçu)</t>
  </si>
  <si>
    <t>Montant d'abondement sur les fonds diversifiés du PEE SGPM (incluant l'abondement déjà perçu)</t>
  </si>
  <si>
    <t>Montant total d'abondement cumulé à ce jour dans le PEE SGPM (incluant l'abondement déjà perçu)</t>
  </si>
  <si>
    <t>Montant versement</t>
  </si>
  <si>
    <t xml:space="preserve">Montant versement </t>
  </si>
  <si>
    <t>NON</t>
  </si>
  <si>
    <t>Saisissez le montant d’abondement brut perçu dans le PEE SGPM en fonds d’Actionnariat (fonds E)</t>
  </si>
  <si>
    <t>Montant net d'intéressement* : Montant brut déduction faite de la CSG et CRDS (taux à 9.7%)</t>
  </si>
  <si>
    <t xml:space="preserve">Saisissez le montant d’abondement brut perçu dans le PEE SGPM en fonds diversifiés </t>
  </si>
  <si>
    <r>
      <rPr>
        <b/>
        <sz val="11"/>
        <rFont val="Calibri"/>
        <family val="2"/>
        <scheme val="minor"/>
      </rPr>
      <t>Pourcentage intéressement*</t>
    </r>
    <r>
      <rPr>
        <sz val="11"/>
        <rFont val="Calibri"/>
        <family val="2"/>
        <scheme val="minor"/>
      </rPr>
      <t xml:space="preserve"> en fonds Relais Société Générale 2023</t>
    </r>
  </si>
  <si>
    <r>
      <rPr>
        <b/>
        <sz val="11"/>
        <rFont val="Calibri"/>
        <family val="2"/>
        <scheme val="minor"/>
      </rPr>
      <t>Pourcentage intéressement*</t>
    </r>
    <r>
      <rPr>
        <sz val="11"/>
        <rFont val="Calibri"/>
        <family val="2"/>
        <scheme val="minor"/>
      </rPr>
      <t xml:space="preserve"> en fonds diversifiés du PEE</t>
    </r>
  </si>
  <si>
    <t>Abondement net</t>
  </si>
  <si>
    <t>Abondement brut</t>
  </si>
  <si>
    <t>Participation nette (100% en fonds E !)</t>
  </si>
  <si>
    <t>A faire augmenter peu à peu</t>
  </si>
  <si>
    <t>Supplément d'intéressement net</t>
  </si>
  <si>
    <t>(Voir tableau "Politique d'abondement SGPM" pour les taux et les plafonds d'abondement).</t>
  </si>
  <si>
    <t>% fonds E :</t>
  </si>
  <si>
    <t>Intéressement net</t>
  </si>
  <si>
    <t>Données :</t>
  </si>
  <si>
    <t>Elle ne peut être considérée comme un conseil d'investissement.</t>
  </si>
  <si>
    <t>L'utilisation de cette calculette est sous la seule responsabilité de son utilisateur.</t>
  </si>
  <si>
    <t>Mode d'emploi : ===&gt;</t>
  </si>
  <si>
    <t>- n'avoir fait aucun versement sur PEE, ni à la SG ni chez un autre employeur.</t>
  </si>
  <si>
    <t>- être résident fiscal en France</t>
  </si>
  <si>
    <t xml:space="preserve">Conditions d'utilisation : </t>
  </si>
  <si>
    <t>Pourcentages à saisir dans Esalia :</t>
  </si>
  <si>
    <t>Total Net Fonds Diversifiés du PEE/PEG</t>
  </si>
  <si>
    <t>Total Net Fonds Relais SG 2023</t>
  </si>
  <si>
    <t>P+I nette</t>
  </si>
  <si>
    <t>https://www.cgtsocgen.fr/bookme-prise-de-rdv</t>
  </si>
  <si>
    <t>Courriel :</t>
  </si>
  <si>
    <t>mailto:info@cgtsg.fr </t>
  </si>
  <si>
    <t>Téléphone :</t>
  </si>
  <si>
    <t>tel:0142143068</t>
  </si>
  <si>
    <t>Rendez-vous :</t>
  </si>
  <si>
    <r>
      <t xml:space="preserve">- avoir une </t>
    </r>
    <r>
      <rPr>
        <u/>
        <sz val="11"/>
        <color rgb="FFFF0000"/>
        <rFont val="Calibri"/>
        <family val="2"/>
        <scheme val="minor"/>
      </rPr>
      <t>participation</t>
    </r>
    <r>
      <rPr>
        <sz val="11"/>
        <color rgb="FFFF0000"/>
        <rFont val="Calibri"/>
        <family val="2"/>
        <scheme val="minor"/>
      </rPr>
      <t xml:space="preserve"> inférieure à 1400 euros environ (!) (ce qui représente déjà un beau salaire…)</t>
    </r>
  </si>
  <si>
    <t>- En augmentant le % d'intéressement en fonds E (case jaune) l'abondement (case grise) augmente puis diminue éventuellement.</t>
  </si>
  <si>
    <t>- Quand il atteint la valeur maxi, ajustez selon que vous voulez plus ou moins d'actions SG.</t>
  </si>
  <si>
    <t>- Saissisez dans l'outil d'investissement les pourcentages en rouge gras.</t>
  </si>
  <si>
    <t>N'oubliez pas de voter CGT.</t>
  </si>
  <si>
    <t>Contrôle</t>
  </si>
  <si>
    <t>- Saisissez l'intéressement, le supplément d'intéressement éventuel, et la participation NETS (cases jaunes).</t>
  </si>
  <si>
    <t>P : Fonds Relais SG 2023</t>
  </si>
  <si>
    <t>I : Fonds Relais SG 2023</t>
  </si>
  <si>
    <t>I : Fonds diversifiés du PEE/PEG</t>
  </si>
  <si>
    <t>Total Net Investi abondement inclus</t>
  </si>
  <si>
    <t>Montant</t>
  </si>
  <si>
    <t>Si l'abondement maxi n'atteint pas 2200 € il faudra investir du liquide ou arbitrer un fonds pour le compléter.</t>
  </si>
  <si>
    <t>- La participation est investie à 100% dans le fonds E par défaut (elle bénéficie d'un très fort coefficient d'abondement).</t>
  </si>
  <si>
    <t>- Le but de cette calculatrice est d'atteindre le maximum d'abondement. Pour ce faire il faut investir en fonds E.</t>
  </si>
  <si>
    <t>Attention ! En cas de versement complémentaire ESALIA réaffecte l'abondement en direction du fonds E.</t>
  </si>
  <si>
    <t>Vérifiez bien la synthèse finale !</t>
  </si>
  <si>
    <t>Dans ce cas voir l'onglet "Maximiser mon abondement" pour simuler et répartir votre versement volontaire, grâce au curseur situé en D59.</t>
  </si>
  <si>
    <t>P : Fonds diversifiés du PEE/PEG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</si>
</sst>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#,##0.00\ &quot;€&quot;"/>
    <numFmt numFmtId="166" formatCode="#,##0\ &quot;€&quot;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777777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777777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5117038483843"/>
      </right>
      <top/>
      <bottom/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5117038483843"/>
      </right>
      <top/>
      <bottom style="thin">
        <color theme="4" tint="0.79995117038483843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9847407452621"/>
      </top>
      <bottom style="thin">
        <color theme="4" tint="0.79998168889431442"/>
      </bottom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58">
    <xf numFmtId="0" fontId="0" fillId="0" borderId="0" xfId="0"/>
    <xf numFmtId="0" fontId="0" fillId="2" borderId="0" xfId="0" applyFill="1"/>
    <xf numFmtId="44" fontId="0" fillId="2" borderId="0" xfId="0" applyNumberFormat="1" applyFill="1"/>
    <xf numFmtId="0" fontId="12" fillId="2" borderId="0" xfId="0" applyFont="1" applyFill="1"/>
    <xf numFmtId="0" fontId="0" fillId="2" borderId="21" xfId="0" applyFill="1" applyBorder="1"/>
    <xf numFmtId="0" fontId="12" fillId="2" borderId="21" xfId="0" applyFont="1" applyFill="1" applyBorder="1"/>
    <xf numFmtId="44" fontId="9" fillId="2" borderId="21" xfId="3" applyFont="1" applyFill="1" applyBorder="1"/>
    <xf numFmtId="44" fontId="11" fillId="2" borderId="0" xfId="3" applyFont="1" applyFill="1"/>
    <xf numFmtId="9" fontId="9" fillId="2" borderId="21" xfId="4" applyFont="1" applyFill="1" applyBorder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165" fontId="0" fillId="0" borderId="0" xfId="0" applyNumberFormat="1"/>
    <xf numFmtId="165" fontId="0" fillId="0" borderId="4" xfId="0" applyNumberFormat="1" applyBorder="1"/>
    <xf numFmtId="165" fontId="6" fillId="3" borderId="0" xfId="0" applyNumberFormat="1" applyFont="1" applyFill="1"/>
    <xf numFmtId="0" fontId="13" fillId="2" borderId="0" xfId="0" applyFont="1" applyFill="1"/>
    <xf numFmtId="44" fontId="11" fillId="2" borderId="0" xfId="3" applyFont="1" applyFill="1" applyBorder="1"/>
    <xf numFmtId="0" fontId="14" fillId="2" borderId="0" xfId="0" applyFont="1" applyFill="1"/>
    <xf numFmtId="44" fontId="11" fillId="2" borderId="0" xfId="0" applyNumberFormat="1" applyFont="1" applyFill="1"/>
    <xf numFmtId="0" fontId="12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165" fontId="0" fillId="2" borderId="0" xfId="0" applyNumberFormat="1" applyFill="1"/>
    <xf numFmtId="0" fontId="4" fillId="0" borderId="22" xfId="0" applyFont="1" applyBorder="1"/>
    <xf numFmtId="0" fontId="0" fillId="0" borderId="23" xfId="0" applyBorder="1"/>
    <xf numFmtId="0" fontId="0" fillId="0" borderId="24" xfId="0" applyBorder="1"/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65" fontId="0" fillId="0" borderId="28" xfId="0" applyNumberFormat="1" applyBorder="1"/>
    <xf numFmtId="0" fontId="0" fillId="0" borderId="29" xfId="0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2" xfId="0" applyBorder="1"/>
    <xf numFmtId="165" fontId="0" fillId="0" borderId="33" xfId="0" applyNumberFormat="1" applyBorder="1"/>
    <xf numFmtId="165" fontId="0" fillId="0" borderId="34" xfId="0" applyNumberFormat="1" applyBorder="1"/>
    <xf numFmtId="0" fontId="12" fillId="2" borderId="35" xfId="0" applyFont="1" applyFill="1" applyBorder="1"/>
    <xf numFmtId="0" fontId="12" fillId="2" borderId="36" xfId="0" applyFont="1" applyFill="1" applyBorder="1"/>
    <xf numFmtId="0" fontId="12" fillId="2" borderId="37" xfId="0" applyFont="1" applyFill="1" applyBorder="1"/>
    <xf numFmtId="165" fontId="0" fillId="2" borderId="38" xfId="0" applyNumberFormat="1" applyFill="1" applyBorder="1"/>
    <xf numFmtId="165" fontId="0" fillId="2" borderId="39" xfId="0" applyNumberFormat="1" applyFill="1" applyBorder="1"/>
    <xf numFmtId="165" fontId="0" fillId="2" borderId="40" xfId="0" applyNumberFormat="1" applyFill="1" applyBorder="1"/>
    <xf numFmtId="165" fontId="0" fillId="2" borderId="41" xfId="0" applyNumberFormat="1" applyFill="1" applyBorder="1"/>
    <xf numFmtId="165" fontId="0" fillId="2" borderId="42" xfId="0" applyNumberFormat="1" applyFill="1" applyBorder="1"/>
    <xf numFmtId="165" fontId="0" fillId="2" borderId="43" xfId="0" applyNumberFormat="1" applyFill="1" applyBorder="1"/>
    <xf numFmtId="44" fontId="9" fillId="4" borderId="21" xfId="3" applyFont="1" applyFill="1" applyBorder="1"/>
    <xf numFmtId="0" fontId="11" fillId="5" borderId="0" xfId="0" applyFont="1" applyFill="1"/>
    <xf numFmtId="0" fontId="0" fillId="5" borderId="0" xfId="0" applyFill="1"/>
    <xf numFmtId="0" fontId="0" fillId="0" borderId="1" xfId="0" applyBorder="1"/>
    <xf numFmtId="44" fontId="0" fillId="0" borderId="0" xfId="0" applyNumberFormat="1"/>
    <xf numFmtId="44" fontId="0" fillId="0" borderId="4" xfId="0" applyNumberFormat="1" applyBorder="1"/>
    <xf numFmtId="0" fontId="0" fillId="0" borderId="44" xfId="0" applyBorder="1"/>
    <xf numFmtId="44" fontId="0" fillId="0" borderId="8" xfId="0" applyNumberFormat="1" applyBorder="1"/>
    <xf numFmtId="44" fontId="0" fillId="0" borderId="9" xfId="0" applyNumberFormat="1" applyBorder="1"/>
    <xf numFmtId="0" fontId="15" fillId="2" borderId="0" xfId="0" applyFont="1" applyFill="1" applyAlignment="1">
      <alignment horizontal="center" wrapText="1"/>
    </xf>
    <xf numFmtId="0" fontId="16" fillId="2" borderId="0" xfId="0" applyFont="1" applyFill="1"/>
    <xf numFmtId="0" fontId="16" fillId="2" borderId="0" xfId="0" applyFont="1" applyFill="1" applyAlignment="1">
      <alignment wrapText="1"/>
    </xf>
    <xf numFmtId="44" fontId="9" fillId="2" borderId="0" xfId="1" applyFont="1" applyFill="1" applyBorder="1" applyProtection="1"/>
    <xf numFmtId="0" fontId="17" fillId="2" borderId="0" xfId="0" applyFont="1" applyFill="1" applyAlignment="1">
      <alignment horizontal="left" wrapText="1" indent="1"/>
    </xf>
    <xf numFmtId="0" fontId="18" fillId="2" borderId="0" xfId="0" applyFont="1" applyFill="1" applyAlignment="1">
      <alignment horizontal="left" indent="1"/>
    </xf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 applyAlignment="1">
      <alignment horizontal="left" indent="1"/>
    </xf>
    <xf numFmtId="0" fontId="16" fillId="2" borderId="0" xfId="0" applyFont="1" applyFill="1" applyAlignment="1">
      <alignment horizontal="left" indent="1"/>
    </xf>
    <xf numFmtId="0" fontId="16" fillId="2" borderId="0" xfId="0" applyFont="1" applyFill="1" applyAlignment="1">
      <alignment horizontal="left" wrapText="1" indent="1"/>
    </xf>
    <xf numFmtId="0" fontId="0" fillId="2" borderId="0" xfId="0" applyFill="1" applyAlignment="1">
      <alignment horizontal="left" indent="1"/>
    </xf>
    <xf numFmtId="0" fontId="20" fillId="2" borderId="0" xfId="0" applyFont="1" applyFill="1" applyAlignment="1">
      <alignment horizontal="left" wrapText="1" indent="1"/>
    </xf>
    <xf numFmtId="0" fontId="0" fillId="2" borderId="0" xfId="0" applyFill="1" applyAlignment="1">
      <alignment wrapText="1"/>
    </xf>
    <xf numFmtId="10" fontId="0" fillId="2" borderId="0" xfId="0" applyNumberFormat="1" applyFill="1"/>
    <xf numFmtId="0" fontId="11" fillId="0" borderId="2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44" fontId="4" fillId="3" borderId="0" xfId="0" applyNumberFormat="1" applyFont="1" applyFill="1"/>
    <xf numFmtId="0" fontId="22" fillId="2" borderId="0" xfId="0" applyFont="1" applyFill="1" applyAlignment="1">
      <alignment horizontal="left" vertical="center" indent="1"/>
    </xf>
    <xf numFmtId="44" fontId="23" fillId="6" borderId="39" xfId="1" applyFont="1" applyFill="1" applyBorder="1" applyAlignment="1" applyProtection="1">
      <alignment horizontal="left" vertical="center" indent="1"/>
      <protection locked="0"/>
    </xf>
    <xf numFmtId="0" fontId="15" fillId="2" borderId="45" xfId="0" applyFont="1" applyFill="1" applyBorder="1" applyAlignment="1">
      <alignment horizontal="center" wrapText="1"/>
    </xf>
    <xf numFmtId="0" fontId="16" fillId="2" borderId="48" xfId="0" applyFont="1" applyFill="1" applyBorder="1" applyAlignment="1">
      <alignment wrapText="1"/>
    </xf>
    <xf numFmtId="0" fontId="0" fillId="2" borderId="48" xfId="0" applyFill="1" applyBorder="1"/>
    <xf numFmtId="0" fontId="0" fillId="2" borderId="49" xfId="0" applyFill="1" applyBorder="1"/>
    <xf numFmtId="0" fontId="0" fillId="2" borderId="45" xfId="0" applyFill="1" applyBorder="1"/>
    <xf numFmtId="0" fontId="0" fillId="2" borderId="46" xfId="0" applyFill="1" applyBorder="1"/>
    <xf numFmtId="0" fontId="0" fillId="2" borderId="47" xfId="0" applyFill="1" applyBorder="1"/>
    <xf numFmtId="0" fontId="20" fillId="2" borderId="46" xfId="0" applyFont="1" applyFill="1" applyBorder="1"/>
    <xf numFmtId="44" fontId="9" fillId="2" borderId="46" xfId="1" applyFont="1" applyFill="1" applyBorder="1" applyProtection="1"/>
    <xf numFmtId="0" fontId="25" fillId="6" borderId="39" xfId="0" applyFont="1" applyFill="1" applyBorder="1" applyAlignment="1">
      <alignment horizontal="center" vertical="center" wrapText="1"/>
    </xf>
    <xf numFmtId="10" fontId="25" fillId="6" borderId="39" xfId="4" applyNumberFormat="1" applyFont="1" applyFill="1" applyBorder="1" applyAlignment="1" applyProtection="1">
      <alignment horizontal="right" vertical="center" indent="1"/>
      <protection locked="0"/>
    </xf>
    <xf numFmtId="44" fontId="27" fillId="2" borderId="39" xfId="3" applyFont="1" applyFill="1" applyBorder="1" applyAlignment="1" applyProtection="1">
      <alignment vertical="center"/>
    </xf>
    <xf numFmtId="0" fontId="20" fillId="2" borderId="50" xfId="0" applyFont="1" applyFill="1" applyBorder="1" applyAlignment="1">
      <alignment horizontal="right" vertical="center"/>
    </xf>
    <xf numFmtId="165" fontId="25" fillId="7" borderId="33" xfId="3" applyNumberFormat="1" applyFont="1" applyFill="1" applyBorder="1" applyAlignment="1" applyProtection="1">
      <alignment horizontal="right" vertical="center"/>
    </xf>
    <xf numFmtId="165" fontId="25" fillId="7" borderId="39" xfId="3" applyNumberFormat="1" applyFont="1" applyFill="1" applyBorder="1" applyAlignment="1" applyProtection="1">
      <alignment horizontal="right" vertical="center"/>
    </xf>
    <xf numFmtId="0" fontId="20" fillId="2" borderId="48" xfId="0" applyFont="1" applyFill="1" applyBorder="1"/>
    <xf numFmtId="44" fontId="9" fillId="2" borderId="48" xfId="1" applyFont="1" applyFill="1" applyBorder="1" applyProtection="1"/>
    <xf numFmtId="0" fontId="0" fillId="2" borderId="46" xfId="0" applyFill="1" applyBorder="1" applyAlignment="1">
      <alignment wrapText="1"/>
    </xf>
    <xf numFmtId="0" fontId="0" fillId="2" borderId="51" xfId="0" applyFill="1" applyBorder="1" applyAlignment="1">
      <alignment wrapText="1"/>
    </xf>
    <xf numFmtId="0" fontId="0" fillId="2" borderId="51" xfId="0" applyFill="1" applyBorder="1"/>
    <xf numFmtId="0" fontId="0" fillId="2" borderId="52" xfId="0" applyFill="1" applyBorder="1"/>
    <xf numFmtId="0" fontId="28" fillId="2" borderId="53" xfId="0" quotePrefix="1" applyFont="1" applyFill="1" applyBorder="1"/>
    <xf numFmtId="0" fontId="0" fillId="2" borderId="53" xfId="0" applyFill="1" applyBorder="1"/>
    <xf numFmtId="0" fontId="0" fillId="2" borderId="54" xfId="0" applyFill="1" applyBorder="1"/>
    <xf numFmtId="9" fontId="29" fillId="0" borderId="11" xfId="0" applyNumberFormat="1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166" fontId="29" fillId="0" borderId="11" xfId="0" applyNumberFormat="1" applyFont="1" applyBorder="1" applyAlignment="1">
      <alignment horizontal="center" vertical="center" wrapText="1"/>
    </xf>
    <xf numFmtId="166" fontId="30" fillId="0" borderId="11" xfId="0" applyNumberFormat="1" applyFont="1" applyBorder="1" applyAlignment="1">
      <alignment vertical="center" wrapText="1"/>
    </xf>
    <xf numFmtId="9" fontId="30" fillId="0" borderId="11" xfId="0" applyNumberFormat="1" applyFont="1" applyBorder="1" applyAlignment="1">
      <alignment horizontal="center" vertical="center" wrapText="1"/>
    </xf>
    <xf numFmtId="9" fontId="29" fillId="0" borderId="11" xfId="0" applyNumberFormat="1" applyFont="1" applyBorder="1" applyAlignment="1">
      <alignment horizontal="center" vertical="center" wrapText="1"/>
    </xf>
    <xf numFmtId="166" fontId="29" fillId="0" borderId="11" xfId="0" applyNumberFormat="1" applyFont="1" applyBorder="1" applyAlignment="1">
      <alignment vertical="center" wrapText="1"/>
    </xf>
    <xf numFmtId="44" fontId="23" fillId="6" borderId="39" xfId="3" applyFont="1" applyFill="1" applyBorder="1" applyAlignment="1" applyProtection="1">
      <alignment horizontal="left" vertical="center" indent="1"/>
      <protection locked="0"/>
    </xf>
    <xf numFmtId="0" fontId="30" fillId="2" borderId="0" xfId="0" applyFont="1" applyFill="1" applyAlignment="1">
      <alignment wrapText="1"/>
    </xf>
    <xf numFmtId="0" fontId="11" fillId="2" borderId="0" xfId="0" applyFont="1" applyFill="1" applyAlignment="1">
      <alignment horizontal="right"/>
    </xf>
    <xf numFmtId="4" fontId="11" fillId="2" borderId="0" xfId="0" applyNumberFormat="1" applyFont="1" applyFill="1"/>
    <xf numFmtId="0" fontId="16" fillId="0" borderId="55" xfId="0" applyFont="1" applyBorder="1" applyAlignment="1">
      <alignment wrapText="1"/>
    </xf>
    <xf numFmtId="0" fontId="3" fillId="0" borderId="10" xfId="0" applyFont="1" applyBorder="1"/>
    <xf numFmtId="0" fontId="3" fillId="0" borderId="2" xfId="0" applyFont="1" applyBorder="1"/>
    <xf numFmtId="0" fontId="3" fillId="0" borderId="57" xfId="0" applyFont="1" applyBorder="1"/>
    <xf numFmtId="0" fontId="3" fillId="0" borderId="23" xfId="0" applyFont="1" applyBorder="1"/>
    <xf numFmtId="0" fontId="3" fillId="0" borderId="44" xfId="0" applyFont="1" applyBorder="1"/>
    <xf numFmtId="0" fontId="32" fillId="0" borderId="0" xfId="0" applyFont="1"/>
    <xf numFmtId="0" fontId="26" fillId="0" borderId="39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44" fontId="27" fillId="2" borderId="0" xfId="3" applyFont="1" applyFill="1" applyBorder="1" applyAlignment="1" applyProtection="1">
      <alignment vertical="center"/>
    </xf>
    <xf numFmtId="165" fontId="0" fillId="0" borderId="0" xfId="0" applyNumberFormat="1" applyAlignment="1">
      <alignment horizontal="right"/>
    </xf>
    <xf numFmtId="0" fontId="20" fillId="2" borderId="0" xfId="0" applyFont="1" applyFill="1" applyAlignment="1">
      <alignment horizontal="right" vertical="center"/>
    </xf>
    <xf numFmtId="0" fontId="33" fillId="2" borderId="0" xfId="0" applyFont="1" applyFill="1" applyAlignment="1">
      <alignment horizontal="center" wrapText="1"/>
    </xf>
    <xf numFmtId="164" fontId="33" fillId="2" borderId="0" xfId="0" applyNumberFormat="1" applyFont="1" applyFill="1" applyAlignment="1">
      <alignment horizontal="center" wrapText="1"/>
    </xf>
    <xf numFmtId="164" fontId="0" fillId="2" borderId="0" xfId="0" applyNumberFormat="1" applyFill="1"/>
    <xf numFmtId="0" fontId="5" fillId="8" borderId="0" xfId="0" applyFont="1" applyFill="1" applyAlignment="1">
      <alignment horizontal="center"/>
    </xf>
    <xf numFmtId="0" fontId="3" fillId="0" borderId="0" xfId="0" applyFont="1"/>
    <xf numFmtId="0" fontId="12" fillId="2" borderId="58" xfId="0" applyFont="1" applyFill="1" applyBorder="1"/>
    <xf numFmtId="165" fontId="0" fillId="2" borderId="59" xfId="0" applyNumberFormat="1" applyFill="1" applyBorder="1"/>
    <xf numFmtId="165" fontId="0" fillId="2" borderId="60" xfId="0" applyNumberFormat="1" applyFill="1" applyBorder="1"/>
    <xf numFmtId="165" fontId="0" fillId="0" borderId="4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0" fontId="31" fillId="2" borderId="0" xfId="0" applyFont="1" applyFill="1" applyAlignment="1">
      <alignment wrapText="1"/>
    </xf>
    <xf numFmtId="0" fontId="31" fillId="2" borderId="0" xfId="0" applyFont="1" applyFill="1"/>
    <xf numFmtId="0" fontId="33" fillId="2" borderId="0" xfId="0" applyFont="1" applyFill="1" applyAlignment="1">
      <alignment wrapText="1"/>
    </xf>
    <xf numFmtId="0" fontId="37" fillId="2" borderId="0" xfId="0" applyFont="1" applyFill="1" applyAlignment="1">
      <alignment horizontal="left" vertical="center" indent="1"/>
    </xf>
    <xf numFmtId="44" fontId="14" fillId="9" borderId="12" xfId="3" applyFont="1" applyFill="1" applyBorder="1" applyAlignment="1" applyProtection="1">
      <alignment vertical="center"/>
    </xf>
    <xf numFmtId="44" fontId="11" fillId="9" borderId="13" xfId="1" applyFont="1" applyFill="1" applyBorder="1" applyAlignment="1" applyProtection="1">
      <alignment vertical="center" wrapText="1"/>
    </xf>
    <xf numFmtId="0" fontId="37" fillId="0" borderId="56" xfId="0" applyFont="1" applyBorder="1" applyAlignment="1">
      <alignment horizontal="left" vertical="center" indent="1"/>
    </xf>
    <xf numFmtId="0" fontId="26" fillId="0" borderId="39" xfId="0" applyFont="1" applyBorder="1" applyAlignment="1">
      <alignment vertical="center"/>
    </xf>
    <xf numFmtId="0" fontId="26" fillId="2" borderId="39" xfId="0" applyFont="1" applyFill="1" applyBorder="1" applyAlignment="1">
      <alignment vertical="center"/>
    </xf>
    <xf numFmtId="0" fontId="33" fillId="2" borderId="0" xfId="0" applyFont="1" applyFill="1" applyAlignment="1">
      <alignment horizontal="center" vertical="center" wrapText="1"/>
    </xf>
    <xf numFmtId="0" fontId="38" fillId="10" borderId="39" xfId="0" applyFont="1" applyFill="1" applyBorder="1" applyAlignment="1">
      <alignment horizontal="right" vertical="center" indent="2"/>
    </xf>
    <xf numFmtId="0" fontId="20" fillId="2" borderId="0" xfId="0" applyFont="1" applyFill="1" applyAlignment="1">
      <alignment horizontal="right" wrapText="1" indent="2"/>
    </xf>
    <xf numFmtId="165" fontId="0" fillId="0" borderId="8" xfId="0" applyNumberFormat="1" applyBorder="1" applyAlignment="1">
      <alignment horizontal="right"/>
    </xf>
    <xf numFmtId="165" fontId="15" fillId="7" borderId="39" xfId="3" applyNumberFormat="1" applyFont="1" applyFill="1" applyBorder="1" applyAlignment="1" applyProtection="1">
      <alignment horizontal="right" vertical="center"/>
    </xf>
    <xf numFmtId="165" fontId="15" fillId="7" borderId="64" xfId="3" applyNumberFormat="1" applyFont="1" applyFill="1" applyBorder="1" applyAlignment="1" applyProtection="1">
      <alignment horizontal="right" vertical="center"/>
    </xf>
    <xf numFmtId="0" fontId="0" fillId="2" borderId="65" xfId="0" applyFill="1" applyBorder="1"/>
    <xf numFmtId="0" fontId="40" fillId="0" borderId="65" xfId="0" applyFont="1" applyBorder="1" applyAlignment="1">
      <alignment vertical="center"/>
    </xf>
    <xf numFmtId="3" fontId="15" fillId="6" borderId="39" xfId="4" applyNumberFormat="1" applyFont="1" applyFill="1" applyBorder="1" applyAlignment="1" applyProtection="1">
      <alignment horizontal="center" vertical="center"/>
      <protection locked="0"/>
    </xf>
    <xf numFmtId="0" fontId="0" fillId="2" borderId="0" xfId="0" quotePrefix="1" applyFill="1"/>
    <xf numFmtId="0" fontId="0" fillId="11" borderId="0" xfId="0" quotePrefix="1" applyFill="1"/>
    <xf numFmtId="164" fontId="0" fillId="11" borderId="0" xfId="0" applyNumberFormat="1" applyFill="1"/>
    <xf numFmtId="0" fontId="0" fillId="11" borderId="0" xfId="0" applyFill="1"/>
    <xf numFmtId="165" fontId="41" fillId="3" borderId="0" xfId="0" applyNumberFormat="1" applyFont="1" applyFill="1"/>
    <xf numFmtId="0" fontId="38" fillId="0" borderId="44" xfId="0" applyFont="1" applyBorder="1"/>
    <xf numFmtId="0" fontId="38" fillId="0" borderId="0" xfId="0" applyFont="1"/>
    <xf numFmtId="0" fontId="38" fillId="0" borderId="57" xfId="0" applyFont="1" applyBorder="1"/>
    <xf numFmtId="0" fontId="38" fillId="0" borderId="23" xfId="0" applyFont="1" applyBorder="1"/>
    <xf numFmtId="0" fontId="15" fillId="0" borderId="22" xfId="0" applyFont="1" applyBorder="1"/>
    <xf numFmtId="0" fontId="0" fillId="12" borderId="0" xfId="0" applyFill="1"/>
    <xf numFmtId="0" fontId="41" fillId="8" borderId="0" xfId="0" applyFont="1" applyFill="1" applyAlignment="1">
      <alignment horizontal="center"/>
    </xf>
    <xf numFmtId="0" fontId="38" fillId="2" borderId="0" xfId="0" applyFont="1" applyFill="1" applyAlignment="1">
      <alignment horizontal="right" vertical="center"/>
    </xf>
    <xf numFmtId="0" fontId="0" fillId="12" borderId="0" xfId="0" applyFill="1" applyAlignment="1">
      <alignment horizontal="right"/>
    </xf>
    <xf numFmtId="0" fontId="0" fillId="13" borderId="0" xfId="0" applyFill="1"/>
    <xf numFmtId="0" fontId="38" fillId="13" borderId="0" xfId="0" applyFont="1" applyFill="1" applyAlignment="1">
      <alignment horizontal="right" vertical="center"/>
    </xf>
    <xf numFmtId="0" fontId="0" fillId="13" borderId="66" xfId="0" applyFill="1" applyBorder="1"/>
    <xf numFmtId="165" fontId="12" fillId="2" borderId="62" xfId="3" applyNumberFormat="1" applyFont="1" applyFill="1" applyBorder="1" applyAlignment="1" applyProtection="1">
      <alignment vertical="center"/>
    </xf>
    <xf numFmtId="165" fontId="0" fillId="2" borderId="4" xfId="0" applyNumberFormat="1" applyFill="1" applyBorder="1"/>
    <xf numFmtId="0" fontId="0" fillId="2" borderId="3" xfId="0" applyFill="1" applyBorder="1"/>
    <xf numFmtId="0" fontId="0" fillId="2" borderId="0" xfId="0" applyFill="1" applyAlignment="1">
      <alignment horizontal="right" vertical="center" indent="1"/>
    </xf>
    <xf numFmtId="0" fontId="38" fillId="2" borderId="0" xfId="0" applyFont="1" applyFill="1" applyAlignment="1">
      <alignment horizontal="right" vertical="center" indent="1"/>
    </xf>
    <xf numFmtId="165" fontId="15" fillId="14" borderId="33" xfId="3" applyNumberFormat="1" applyFont="1" applyFill="1" applyBorder="1" applyAlignment="1" applyProtection="1">
      <alignment horizontal="right" vertical="center"/>
    </xf>
    <xf numFmtId="165" fontId="15" fillId="7" borderId="33" xfId="3" applyNumberFormat="1" applyFont="1" applyFill="1" applyBorder="1" applyAlignment="1" applyProtection="1">
      <alignment horizontal="right" vertical="center"/>
    </xf>
    <xf numFmtId="0" fontId="38" fillId="0" borderId="10" xfId="0" applyFont="1" applyBorder="1"/>
    <xf numFmtId="0" fontId="38" fillId="0" borderId="2" xfId="0" applyFont="1" applyBorder="1"/>
    <xf numFmtId="0" fontId="15" fillId="0" borderId="1" xfId="0" applyFont="1" applyBorder="1"/>
    <xf numFmtId="0" fontId="38" fillId="2" borderId="50" xfId="0" applyFont="1" applyFill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40" fillId="0" borderId="0" xfId="0" applyFont="1" applyAlignment="1">
      <alignment horizontal="right"/>
    </xf>
    <xf numFmtId="44" fontId="11" fillId="6" borderId="0" xfId="1" applyFont="1" applyFill="1" applyBorder="1" applyAlignment="1" applyProtection="1">
      <alignment horizontal="left" vertical="center" indent="1"/>
      <protection locked="0"/>
    </xf>
    <xf numFmtId="0" fontId="0" fillId="13" borderId="0" xfId="0" applyFill="1" applyAlignment="1">
      <alignment wrapText="1"/>
    </xf>
    <xf numFmtId="165" fontId="0" fillId="13" borderId="43" xfId="0" applyNumberFormat="1" applyFill="1" applyBorder="1"/>
    <xf numFmtId="165" fontId="0" fillId="13" borderId="60" xfId="0" applyNumberFormat="1" applyFill="1" applyBorder="1"/>
    <xf numFmtId="165" fontId="0" fillId="13" borderId="42" xfId="0" applyNumberFormat="1" applyFill="1" applyBorder="1"/>
    <xf numFmtId="165" fontId="0" fillId="13" borderId="41" xfId="0" applyNumberFormat="1" applyFill="1" applyBorder="1"/>
    <xf numFmtId="0" fontId="28" fillId="13" borderId="0" xfId="0" quotePrefix="1" applyFont="1" applyFill="1"/>
    <xf numFmtId="0" fontId="38" fillId="0" borderId="0" xfId="0" applyFont="1" applyAlignment="1">
      <alignment horizontal="right" vertical="center"/>
    </xf>
    <xf numFmtId="0" fontId="38" fillId="2" borderId="0" xfId="0" applyFont="1" applyFill="1" applyAlignment="1">
      <alignment horizontal="left" vertical="center"/>
    </xf>
    <xf numFmtId="165" fontId="11" fillId="15" borderId="0" xfId="0" applyNumberFormat="1" applyFont="1" applyFill="1" applyAlignment="1" applyProtection="1">
      <alignment horizontal="center"/>
      <protection locked="0"/>
    </xf>
    <xf numFmtId="0" fontId="0" fillId="2" borderId="0" xfId="0" applyFill="1" applyAlignment="1">
      <alignment horizontal="right"/>
    </xf>
    <xf numFmtId="0" fontId="0" fillId="2" borderId="2" xfId="0" applyFill="1" applyBorder="1"/>
    <xf numFmtId="0" fontId="15" fillId="2" borderId="1" xfId="0" applyFont="1" applyFill="1" applyBorder="1"/>
    <xf numFmtId="164" fontId="0" fillId="16" borderId="0" xfId="0" applyNumberFormat="1" applyFill="1"/>
    <xf numFmtId="165" fontId="0" fillId="13" borderId="40" xfId="0" applyNumberFormat="1" applyFill="1" applyBorder="1"/>
    <xf numFmtId="165" fontId="0" fillId="13" borderId="59" xfId="0" applyNumberFormat="1" applyFill="1" applyBorder="1"/>
    <xf numFmtId="165" fontId="0" fillId="13" borderId="39" xfId="0" applyNumberFormat="1" applyFill="1" applyBorder="1"/>
    <xf numFmtId="165" fontId="0" fillId="13" borderId="38" xfId="0" applyNumberFormat="1" applyFill="1" applyBorder="1"/>
    <xf numFmtId="0" fontId="38" fillId="2" borderId="0" xfId="0" applyFont="1" applyFill="1" applyAlignment="1">
      <alignment horizontal="left" vertical="center" wrapText="1"/>
    </xf>
    <xf numFmtId="3" fontId="15" fillId="6" borderId="0" xfId="4" applyNumberFormat="1" applyFont="1" applyFill="1" applyBorder="1" applyAlignment="1" applyProtection="1">
      <alignment horizontal="center" vertical="center"/>
    </xf>
    <xf numFmtId="0" fontId="38" fillId="2" borderId="0" xfId="0" applyFont="1" applyFill="1" applyAlignment="1">
      <alignment horizontal="right" vertical="center" wrapText="1"/>
    </xf>
    <xf numFmtId="0" fontId="38" fillId="2" borderId="0" xfId="0" applyFont="1" applyFill="1" applyAlignment="1">
      <alignment horizontal="left" vertical="center" wrapText="1" indent="1"/>
    </xf>
    <xf numFmtId="0" fontId="38" fillId="2" borderId="0" xfId="0" applyFont="1" applyFill="1" applyAlignment="1">
      <alignment horizontal="right" vertical="center" wrapText="1" indent="1"/>
    </xf>
    <xf numFmtId="0" fontId="28" fillId="2" borderId="0" xfId="0" quotePrefix="1" applyFont="1" applyFill="1"/>
    <xf numFmtId="0" fontId="0" fillId="13" borderId="54" xfId="0" applyFill="1" applyBorder="1"/>
    <xf numFmtId="165" fontId="15" fillId="2" borderId="33" xfId="3" applyNumberFormat="1" applyFont="1" applyFill="1" applyBorder="1" applyAlignment="1" applyProtection="1">
      <alignment horizontal="right" vertical="center"/>
    </xf>
    <xf numFmtId="44" fontId="15" fillId="3" borderId="0" xfId="0" applyNumberFormat="1" applyFont="1" applyFill="1"/>
    <xf numFmtId="0" fontId="15" fillId="2" borderId="55" xfId="0" applyFont="1" applyFill="1" applyBorder="1" applyAlignment="1">
      <alignment wrapText="1"/>
    </xf>
    <xf numFmtId="0" fontId="40" fillId="2" borderId="56" xfId="0" applyFont="1" applyFill="1" applyBorder="1" applyAlignment="1">
      <alignment vertical="center"/>
    </xf>
    <xf numFmtId="44" fontId="0" fillId="13" borderId="4" xfId="0" applyNumberFormat="1" applyFill="1" applyBorder="1"/>
    <xf numFmtId="44" fontId="0" fillId="13" borderId="0" xfId="0" applyNumberFormat="1" applyFill="1"/>
    <xf numFmtId="0" fontId="0" fillId="13" borderId="29" xfId="0" applyFill="1" applyBorder="1"/>
    <xf numFmtId="165" fontId="0" fillId="13" borderId="0" xfId="0" applyNumberFormat="1" applyFill="1"/>
    <xf numFmtId="165" fontId="0" fillId="13" borderId="28" xfId="0" applyNumberFormat="1" applyFill="1" applyBorder="1"/>
    <xf numFmtId="165" fontId="0" fillId="13" borderId="27" xfId="0" applyNumberFormat="1" applyFill="1" applyBorder="1"/>
    <xf numFmtId="0" fontId="38" fillId="13" borderId="44" xfId="0" applyFont="1" applyFill="1" applyBorder="1"/>
    <xf numFmtId="0" fontId="0" fillId="13" borderId="24" xfId="0" applyFill="1" applyBorder="1"/>
    <xf numFmtId="165" fontId="0" fillId="13" borderId="34" xfId="0" applyNumberFormat="1" applyFill="1" applyBorder="1"/>
    <xf numFmtId="165" fontId="0" fillId="13" borderId="33" xfId="0" applyNumberFormat="1" applyFill="1" applyBorder="1"/>
    <xf numFmtId="0" fontId="0" fillId="13" borderId="32" xfId="0" applyFill="1" applyBorder="1"/>
    <xf numFmtId="0" fontId="40" fillId="2" borderId="0" xfId="0" applyFont="1" applyFill="1" applyAlignment="1">
      <alignment vertical="center"/>
    </xf>
    <xf numFmtId="165" fontId="0" fillId="16" borderId="0" xfId="0" applyNumberFormat="1" applyFill="1"/>
    <xf numFmtId="165" fontId="0" fillId="16" borderId="4" xfId="0" applyNumberFormat="1" applyFill="1" applyBorder="1"/>
    <xf numFmtId="0" fontId="42" fillId="2" borderId="0" xfId="0" applyFont="1" applyFill="1" applyAlignment="1">
      <alignment horizontal="left" wrapText="1" indent="1"/>
    </xf>
    <xf numFmtId="0" fontId="43" fillId="2" borderId="0" xfId="0" applyFont="1" applyFill="1" applyAlignment="1">
      <alignment horizontal="center" wrapText="1"/>
    </xf>
    <xf numFmtId="164" fontId="43" fillId="2" borderId="0" xfId="0" applyNumberFormat="1" applyFont="1" applyFill="1" applyAlignment="1">
      <alignment horizontal="center" wrapText="1"/>
    </xf>
    <xf numFmtId="44" fontId="41" fillId="2" borderId="0" xfId="3" applyFont="1" applyFill="1" applyBorder="1" applyAlignment="1" applyProtection="1">
      <alignment vertical="center"/>
    </xf>
    <xf numFmtId="165" fontId="12" fillId="2" borderId="12" xfId="3" applyNumberFormat="1" applyFont="1" applyFill="1" applyBorder="1" applyAlignment="1" applyProtection="1">
      <alignment vertical="center"/>
    </xf>
    <xf numFmtId="0" fontId="11" fillId="2" borderId="13" xfId="0" applyFont="1" applyFill="1" applyBorder="1" applyAlignment="1">
      <alignment horizontal="left" vertical="center" wrapText="1" indent="1"/>
    </xf>
    <xf numFmtId="0" fontId="0" fillId="16" borderId="0" xfId="0" applyFill="1"/>
    <xf numFmtId="0" fontId="0" fillId="16" borderId="3" xfId="0" applyFill="1" applyBorder="1"/>
    <xf numFmtId="0" fontId="38" fillId="16" borderId="10" xfId="0" applyFont="1" applyFill="1" applyBorder="1"/>
    <xf numFmtId="0" fontId="0" fillId="16" borderId="2" xfId="0" applyFill="1" applyBorder="1"/>
    <xf numFmtId="0" fontId="15" fillId="16" borderId="1" xfId="0" applyFont="1" applyFill="1" applyBorder="1"/>
    <xf numFmtId="0" fontId="38" fillId="16" borderId="2" xfId="0" applyFont="1" applyFill="1" applyBorder="1"/>
    <xf numFmtId="44" fontId="11" fillId="2" borderId="39" xfId="1" applyFont="1" applyFill="1" applyBorder="1" applyAlignment="1" applyProtection="1">
      <alignment horizontal="left" vertical="center" indent="1"/>
      <protection locked="0"/>
    </xf>
    <xf numFmtId="0" fontId="38" fillId="2" borderId="39" xfId="0" applyFont="1" applyFill="1" applyBorder="1" applyAlignment="1">
      <alignment horizontal="left" vertical="center" wrapText="1" indent="1"/>
    </xf>
    <xf numFmtId="44" fontId="41" fillId="2" borderId="39" xfId="3" applyFont="1" applyFill="1" applyBorder="1" applyAlignment="1" applyProtection="1">
      <alignment vertical="center"/>
    </xf>
    <xf numFmtId="10" fontId="15" fillId="2" borderId="39" xfId="4" applyNumberFormat="1" applyFont="1" applyFill="1" applyBorder="1" applyAlignment="1" applyProtection="1">
      <alignment horizontal="right" vertical="center" indent="1"/>
      <protection locked="0"/>
    </xf>
    <xf numFmtId="165" fontId="0" fillId="16" borderId="0" xfId="0" applyNumberFormat="1" applyFill="1" applyAlignment="1">
      <alignment horizontal="right"/>
    </xf>
    <xf numFmtId="165" fontId="0" fillId="16" borderId="9" xfId="0" applyNumberFormat="1" applyFill="1" applyBorder="1" applyAlignment="1">
      <alignment horizontal="right"/>
    </xf>
    <xf numFmtId="165" fontId="0" fillId="16" borderId="4" xfId="0" applyNumberFormat="1" applyFill="1" applyBorder="1" applyAlignment="1">
      <alignment horizontal="right"/>
    </xf>
    <xf numFmtId="44" fontId="0" fillId="2" borderId="0" xfId="1" applyFont="1" applyFill="1" applyBorder="1" applyProtection="1"/>
    <xf numFmtId="0" fontId="38" fillId="2" borderId="0" xfId="0" applyFont="1" applyFill="1" applyAlignment="1">
      <alignment horizontal="left" wrapText="1" indent="1"/>
    </xf>
    <xf numFmtId="0" fontId="38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40" fillId="2" borderId="0" xfId="0" applyFont="1" applyFill="1" applyAlignment="1">
      <alignment horizontal="left" vertical="center" indent="1"/>
    </xf>
    <xf numFmtId="0" fontId="41" fillId="2" borderId="0" xfId="0" applyFont="1" applyFill="1" applyAlignment="1">
      <alignment wrapText="1"/>
    </xf>
    <xf numFmtId="0" fontId="38" fillId="13" borderId="0" xfId="0" applyFont="1" applyFill="1"/>
    <xf numFmtId="0" fontId="38" fillId="13" borderId="10" xfId="0" applyFont="1" applyFill="1" applyBorder="1"/>
    <xf numFmtId="0" fontId="0" fillId="13" borderId="2" xfId="0" applyFill="1" applyBorder="1"/>
    <xf numFmtId="0" fontId="15" fillId="13" borderId="1" xfId="0" applyFont="1" applyFill="1" applyBorder="1"/>
    <xf numFmtId="0" fontId="38" fillId="13" borderId="57" xfId="0" applyFont="1" applyFill="1" applyBorder="1"/>
    <xf numFmtId="0" fontId="38" fillId="13" borderId="23" xfId="0" applyFont="1" applyFill="1" applyBorder="1"/>
    <xf numFmtId="0" fontId="0" fillId="13" borderId="23" xfId="0" applyFill="1" applyBorder="1"/>
    <xf numFmtId="0" fontId="15" fillId="13" borderId="22" xfId="0" applyFont="1" applyFill="1" applyBorder="1"/>
    <xf numFmtId="0" fontId="0" fillId="13" borderId="45" xfId="0" applyFill="1" applyBorder="1"/>
    <xf numFmtId="0" fontId="15" fillId="2" borderId="0" xfId="0" applyFont="1" applyFill="1" applyAlignment="1">
      <alignment horizontal="left" wrapText="1" indent="1"/>
    </xf>
    <xf numFmtId="44" fontId="11" fillId="2" borderId="39" xfId="3" applyFont="1" applyFill="1" applyBorder="1" applyAlignment="1" applyProtection="1">
      <alignment horizontal="left" vertical="center" indent="1"/>
      <protection locked="0"/>
    </xf>
    <xf numFmtId="0" fontId="15" fillId="2" borderId="0" xfId="0" applyFont="1" applyFill="1" applyAlignment="1">
      <alignment horizontal="left" indent="1"/>
    </xf>
    <xf numFmtId="0" fontId="15" fillId="2" borderId="0" xfId="0" applyFont="1" applyFill="1"/>
    <xf numFmtId="44" fontId="0" fillId="2" borderId="48" xfId="1" applyFont="1" applyFill="1" applyBorder="1" applyProtection="1"/>
    <xf numFmtId="0" fontId="38" fillId="2" borderId="48" xfId="0" applyFont="1" applyFill="1" applyBorder="1"/>
    <xf numFmtId="165" fontId="0" fillId="13" borderId="0" xfId="0" applyNumberFormat="1" applyFill="1" applyAlignment="1">
      <alignment horizontal="right"/>
    </xf>
    <xf numFmtId="0" fontId="38" fillId="2" borderId="69" xfId="0" applyFont="1" applyFill="1" applyBorder="1"/>
    <xf numFmtId="0" fontId="38" fillId="2" borderId="0" xfId="0" applyFont="1" applyFill="1"/>
    <xf numFmtId="44" fontId="0" fillId="2" borderId="46" xfId="1" applyFont="1" applyFill="1" applyBorder="1" applyProtection="1"/>
    <xf numFmtId="0" fontId="38" fillId="2" borderId="46" xfId="0" applyFont="1" applyFill="1" applyBorder="1"/>
    <xf numFmtId="165" fontId="0" fillId="13" borderId="4" xfId="0" applyNumberFormat="1" applyFill="1" applyBorder="1"/>
    <xf numFmtId="0" fontId="0" fillId="13" borderId="3" xfId="0" applyFill="1" applyBorder="1"/>
    <xf numFmtId="0" fontId="40" fillId="2" borderId="0" xfId="0" applyFont="1" applyFill="1"/>
    <xf numFmtId="0" fontId="38" fillId="2" borderId="10" xfId="0" applyFont="1" applyFill="1" applyBorder="1"/>
    <xf numFmtId="0" fontId="38" fillId="2" borderId="2" xfId="0" applyFont="1" applyFill="1" applyBorder="1"/>
    <xf numFmtId="0" fontId="13" fillId="13" borderId="0" xfId="0" applyFont="1" applyFill="1"/>
    <xf numFmtId="0" fontId="15" fillId="2" borderId="48" xfId="0" applyFont="1" applyFill="1" applyBorder="1" applyAlignment="1">
      <alignment wrapText="1"/>
    </xf>
    <xf numFmtId="0" fontId="41" fillId="13" borderId="0" xfId="0" applyFont="1" applyFill="1" applyAlignment="1">
      <alignment horizontal="center"/>
    </xf>
    <xf numFmtId="0" fontId="15" fillId="2" borderId="70" xfId="0" applyFont="1" applyFill="1" applyBorder="1" applyAlignment="1">
      <alignment wrapText="1"/>
    </xf>
    <xf numFmtId="0" fontId="44" fillId="2" borderId="71" xfId="0" applyFont="1" applyFill="1" applyBorder="1" applyAlignment="1">
      <alignment vertical="center"/>
    </xf>
    <xf numFmtId="44" fontId="0" fillId="4" borderId="21" xfId="3" applyFont="1" applyFill="1" applyBorder="1"/>
    <xf numFmtId="9" fontId="0" fillId="2" borderId="21" xfId="4" applyFont="1" applyFill="1" applyBorder="1"/>
    <xf numFmtId="44" fontId="0" fillId="2" borderId="21" xfId="3" applyFont="1" applyFill="1" applyBorder="1"/>
    <xf numFmtId="44" fontId="11" fillId="13" borderId="0" xfId="0" applyNumberFormat="1" applyFont="1" applyFill="1"/>
    <xf numFmtId="44" fontId="11" fillId="13" borderId="0" xfId="3" applyFont="1" applyFill="1"/>
    <xf numFmtId="0" fontId="46" fillId="2" borderId="0" xfId="0" applyFont="1" applyFill="1"/>
    <xf numFmtId="0" fontId="47" fillId="2" borderId="0" xfId="0" applyFont="1" applyFill="1"/>
    <xf numFmtId="0" fontId="15" fillId="2" borderId="39" xfId="0" applyFont="1" applyFill="1" applyBorder="1" applyAlignment="1">
      <alignment horizontal="center" vertical="center" wrapText="1"/>
    </xf>
    <xf numFmtId="0" fontId="15" fillId="16" borderId="63" xfId="0" applyFont="1" applyFill="1" applyBorder="1" applyAlignment="1">
      <alignment vertical="center" wrapText="1"/>
    </xf>
    <xf numFmtId="0" fontId="15" fillId="2" borderId="62" xfId="0" applyFont="1" applyFill="1" applyBorder="1" applyAlignment="1">
      <alignment vertical="center" wrapText="1"/>
    </xf>
    <xf numFmtId="0" fontId="37" fillId="0" borderId="0" xfId="0" applyFont="1"/>
    <xf numFmtId="0" fontId="24" fillId="0" borderId="0" xfId="0" applyFont="1" applyAlignment="1">
      <alignment horizontal="left" vertical="center" indent="1"/>
    </xf>
    <xf numFmtId="9" fontId="9" fillId="2" borderId="0" xfId="4" applyFont="1" applyFill="1" applyBorder="1"/>
    <xf numFmtId="44" fontId="9" fillId="2" borderId="0" xfId="3" applyFont="1" applyFill="1" applyBorder="1"/>
    <xf numFmtId="44" fontId="9" fillId="4" borderId="0" xfId="3" applyFont="1" applyFill="1" applyBorder="1"/>
    <xf numFmtId="0" fontId="24" fillId="0" borderId="74" xfId="0" applyFont="1" applyBorder="1" applyAlignment="1">
      <alignment horizontal="left" vertical="center" indent="1"/>
    </xf>
    <xf numFmtId="0" fontId="20" fillId="2" borderId="74" xfId="0" applyFont="1" applyFill="1" applyBorder="1"/>
    <xf numFmtId="0" fontId="16" fillId="2" borderId="74" xfId="0" applyFont="1" applyFill="1" applyBorder="1"/>
    <xf numFmtId="0" fontId="49" fillId="2" borderId="0" xfId="0" applyFont="1" applyFill="1"/>
    <xf numFmtId="0" fontId="39" fillId="17" borderId="76" xfId="0" applyFont="1" applyFill="1" applyBorder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6" fillId="0" borderId="0" xfId="0" applyFont="1" applyAlignment="1">
      <alignment horizontal="left" vertical="center" indent="1"/>
    </xf>
    <xf numFmtId="165" fontId="15" fillId="2" borderId="77" xfId="3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51" fillId="17" borderId="0" xfId="0" applyFont="1" applyFill="1" applyAlignment="1">
      <alignment vertical="center"/>
    </xf>
    <xf numFmtId="0" fontId="0" fillId="0" borderId="78" xfId="0" applyBorder="1"/>
    <xf numFmtId="0" fontId="0" fillId="0" borderId="66" xfId="0" applyBorder="1"/>
    <xf numFmtId="0" fontId="0" fillId="0" borderId="14" xfId="0" applyBorder="1"/>
    <xf numFmtId="0" fontId="0" fillId="0" borderId="5" xfId="0" applyBorder="1"/>
    <xf numFmtId="0" fontId="0" fillId="0" borderId="18" xfId="0" applyBorder="1"/>
    <xf numFmtId="0" fontId="0" fillId="0" borderId="17" xfId="0" applyBorder="1"/>
    <xf numFmtId="0" fontId="0" fillId="0" borderId="15" xfId="0" applyBorder="1"/>
    <xf numFmtId="0" fontId="54" fillId="0" borderId="0" xfId="0" applyFont="1"/>
    <xf numFmtId="0" fontId="55" fillId="0" borderId="0" xfId="2" applyFont="1"/>
    <xf numFmtId="0" fontId="52" fillId="0" borderId="0" xfId="0" applyFont="1" applyAlignment="1">
      <alignment vertical="center" wrapText="1"/>
    </xf>
    <xf numFmtId="0" fontId="40" fillId="16" borderId="14" xfId="0" quotePrefix="1" applyFont="1" applyFill="1" applyBorder="1"/>
    <xf numFmtId="0" fontId="0" fillId="16" borderId="15" xfId="0" applyFill="1" applyBorder="1"/>
    <xf numFmtId="0" fontId="0" fillId="0" borderId="16" xfId="0" applyBorder="1"/>
    <xf numFmtId="0" fontId="40" fillId="16" borderId="66" xfId="0" quotePrefix="1" applyFont="1" applyFill="1" applyBorder="1"/>
    <xf numFmtId="0" fontId="0" fillId="16" borderId="0" xfId="0" applyFill="1" applyBorder="1"/>
    <xf numFmtId="0" fontId="0" fillId="0" borderId="0" xfId="0" applyBorder="1"/>
    <xf numFmtId="0" fontId="0" fillId="0" borderId="66" xfId="0" quotePrefix="1" applyBorder="1"/>
    <xf numFmtId="0" fontId="0" fillId="0" borderId="17" xfId="0" quotePrefix="1" applyBorder="1"/>
    <xf numFmtId="0" fontId="0" fillId="0" borderId="19" xfId="0" applyBorder="1"/>
    <xf numFmtId="0" fontId="40" fillId="16" borderId="17" xfId="0" quotePrefix="1" applyFont="1" applyFill="1" applyBorder="1"/>
    <xf numFmtId="0" fontId="0" fillId="16" borderId="18" xfId="0" applyFill="1" applyBorder="1"/>
    <xf numFmtId="0" fontId="0" fillId="0" borderId="7" xfId="0" applyBorder="1"/>
    <xf numFmtId="0" fontId="37" fillId="0" borderId="14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7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44" fontId="0" fillId="16" borderId="80" xfId="3" applyFont="1" applyFill="1" applyBorder="1"/>
    <xf numFmtId="44" fontId="0" fillId="16" borderId="81" xfId="3" applyFont="1" applyFill="1" applyBorder="1"/>
    <xf numFmtId="44" fontId="0" fillId="16" borderId="82" xfId="3" applyFont="1" applyFill="1" applyBorder="1"/>
    <xf numFmtId="10" fontId="0" fillId="16" borderId="79" xfId="4" applyNumberFormat="1" applyFont="1" applyFill="1" applyBorder="1"/>
    <xf numFmtId="44" fontId="38" fillId="18" borderId="16" xfId="3" applyFont="1" applyFill="1" applyBorder="1"/>
    <xf numFmtId="0" fontId="38" fillId="18" borderId="14" xfId="0" applyFont="1" applyFill="1" applyBorder="1" applyAlignment="1">
      <alignment vertical="center"/>
    </xf>
    <xf numFmtId="0" fontId="38" fillId="18" borderId="15" xfId="0" applyFont="1" applyFill="1" applyBorder="1"/>
    <xf numFmtId="0" fontId="38" fillId="18" borderId="66" xfId="0" applyFont="1" applyFill="1" applyBorder="1" applyAlignment="1">
      <alignment vertical="center"/>
    </xf>
    <xf numFmtId="0" fontId="38" fillId="18" borderId="0" xfId="0" applyFont="1" applyFill="1" applyBorder="1"/>
    <xf numFmtId="44" fontId="38" fillId="18" borderId="78" xfId="3" applyFont="1" applyFill="1" applyBorder="1"/>
    <xf numFmtId="0" fontId="38" fillId="18" borderId="15" xfId="0" applyFont="1" applyFill="1" applyBorder="1" applyAlignment="1">
      <alignment vertical="center"/>
    </xf>
    <xf numFmtId="0" fontId="38" fillId="18" borderId="0" xfId="0" applyFont="1" applyFill="1" applyBorder="1" applyAlignment="1">
      <alignment vertical="center"/>
    </xf>
    <xf numFmtId="44" fontId="0" fillId="0" borderId="7" xfId="0" applyNumberFormat="1" applyBorder="1"/>
    <xf numFmtId="0" fontId="38" fillId="2" borderId="14" xfId="0" applyFont="1" applyFill="1" applyBorder="1" applyAlignment="1">
      <alignment vertical="center"/>
    </xf>
    <xf numFmtId="0" fontId="38" fillId="2" borderId="66" xfId="0" applyFont="1" applyFill="1" applyBorder="1" applyAlignment="1">
      <alignment vertical="center"/>
    </xf>
    <xf numFmtId="0" fontId="38" fillId="2" borderId="17" xfId="0" applyFont="1" applyFill="1" applyBorder="1" applyAlignment="1">
      <alignment vertical="center"/>
    </xf>
    <xf numFmtId="0" fontId="38" fillId="2" borderId="18" xfId="0" applyFont="1" applyFill="1" applyBorder="1" applyAlignment="1">
      <alignment vertical="center"/>
    </xf>
    <xf numFmtId="0" fontId="0" fillId="0" borderId="79" xfId="0" applyBorder="1"/>
    <xf numFmtId="44" fontId="38" fillId="18" borderId="80" xfId="3" applyFont="1" applyFill="1" applyBorder="1"/>
    <xf numFmtId="44" fontId="38" fillId="18" borderId="82" xfId="3" applyFont="1" applyFill="1" applyBorder="1"/>
    <xf numFmtId="44" fontId="11" fillId="0" borderId="7" xfId="3" applyFont="1" applyBorder="1"/>
    <xf numFmtId="0" fontId="13" fillId="0" borderId="66" xfId="0" applyFont="1" applyBorder="1"/>
    <xf numFmtId="0" fontId="13" fillId="16" borderId="14" xfId="0" quotePrefix="1" applyFont="1" applyFill="1" applyBorder="1"/>
    <xf numFmtId="0" fontId="13" fillId="16" borderId="15" xfId="0" applyFont="1" applyFill="1" applyBorder="1"/>
    <xf numFmtId="0" fontId="0" fillId="16" borderId="16" xfId="0" applyFill="1" applyBorder="1"/>
    <xf numFmtId="0" fontId="13" fillId="16" borderId="66" xfId="0" quotePrefix="1" applyFont="1" applyFill="1" applyBorder="1"/>
    <xf numFmtId="0" fontId="13" fillId="16" borderId="0" xfId="0" applyFont="1" applyFill="1" applyBorder="1"/>
    <xf numFmtId="0" fontId="0" fillId="16" borderId="78" xfId="0" applyFill="1" applyBorder="1"/>
    <xf numFmtId="0" fontId="13" fillId="16" borderId="18" xfId="0" applyFont="1" applyFill="1" applyBorder="1"/>
    <xf numFmtId="0" fontId="0" fillId="16" borderId="19" xfId="0" applyFill="1" applyBorder="1"/>
    <xf numFmtId="0" fontId="0" fillId="0" borderId="14" xfId="0" quotePrefix="1" applyBorder="1"/>
    <xf numFmtId="0" fontId="38" fillId="2" borderId="15" xfId="0" applyFont="1" applyFill="1" applyBorder="1" applyAlignment="1">
      <alignment vertical="center"/>
    </xf>
    <xf numFmtId="10" fontId="37" fillId="0" borderId="16" xfId="4" applyNumberFormat="1" applyFont="1" applyBorder="1" applyAlignment="1">
      <alignment vertical="center"/>
    </xf>
    <xf numFmtId="44" fontId="38" fillId="18" borderId="80" xfId="3" applyFont="1" applyFill="1" applyBorder="1" applyAlignment="1">
      <alignment vertical="center"/>
    </xf>
    <xf numFmtId="0" fontId="38" fillId="2" borderId="0" xfId="0" applyFont="1" applyFill="1" applyBorder="1" applyAlignment="1">
      <alignment vertical="center"/>
    </xf>
    <xf numFmtId="10" fontId="37" fillId="0" borderId="78" xfId="4" applyNumberFormat="1" applyFont="1" applyBorder="1" applyAlignment="1">
      <alignment vertical="center"/>
    </xf>
    <xf numFmtId="44" fontId="38" fillId="18" borderId="81" xfId="3" applyFont="1" applyFill="1" applyBorder="1" applyAlignment="1">
      <alignment vertical="center"/>
    </xf>
    <xf numFmtId="10" fontId="37" fillId="0" borderId="19" xfId="4" applyNumberFormat="1" applyFont="1" applyBorder="1" applyAlignment="1">
      <alignment vertical="center"/>
    </xf>
    <xf numFmtId="44" fontId="38" fillId="18" borderId="82" xfId="3" applyFont="1" applyFill="1" applyBorder="1" applyAlignment="1">
      <alignment vertical="center"/>
    </xf>
    <xf numFmtId="0" fontId="38" fillId="18" borderId="5" xfId="0" applyFont="1" applyFill="1" applyBorder="1" applyAlignment="1">
      <alignment vertical="center"/>
    </xf>
    <xf numFmtId="0" fontId="38" fillId="18" borderId="6" xfId="0" applyFont="1" applyFill="1" applyBorder="1" applyAlignment="1">
      <alignment vertical="center"/>
    </xf>
    <xf numFmtId="0" fontId="38" fillId="18" borderId="6" xfId="0" applyFont="1" applyFill="1" applyBorder="1"/>
    <xf numFmtId="44" fontId="38" fillId="18" borderId="7" xfId="3" applyFont="1" applyFill="1" applyBorder="1"/>
    <xf numFmtId="0" fontId="0" fillId="0" borderId="79" xfId="0" applyBorder="1" applyAlignment="1">
      <alignment horizontal="center" vertical="center"/>
    </xf>
    <xf numFmtId="44" fontId="38" fillId="18" borderId="79" xfId="3" applyFont="1" applyFill="1" applyBorder="1"/>
    <xf numFmtId="44" fontId="11" fillId="0" borderId="0" xfId="3" applyFont="1" applyBorder="1"/>
    <xf numFmtId="0" fontId="0" fillId="2" borderId="0" xfId="0" applyFill="1" applyBorder="1"/>
    <xf numFmtId="0" fontId="0" fillId="2" borderId="5" xfId="0" applyFill="1" applyBorder="1"/>
    <xf numFmtId="0" fontId="47" fillId="0" borderId="14" xfId="0" quotePrefix="1" applyFont="1" applyBorder="1"/>
    <xf numFmtId="0" fontId="13" fillId="16" borderId="18" xfId="0" quotePrefix="1" applyFont="1" applyFill="1" applyBorder="1"/>
    <xf numFmtId="0" fontId="33" fillId="16" borderId="17" xfId="0" quotePrefix="1" applyFont="1" applyFill="1" applyBorder="1"/>
    <xf numFmtId="44" fontId="0" fillId="16" borderId="0" xfId="3" applyFont="1" applyFill="1" applyBorder="1"/>
    <xf numFmtId="0" fontId="33" fillId="16" borderId="66" xfId="0" quotePrefix="1" applyFont="1" applyFill="1" applyBorder="1"/>
    <xf numFmtId="0" fontId="52" fillId="0" borderId="0" xfId="0" applyFont="1" applyAlignment="1">
      <alignment vertical="center" wrapText="1"/>
    </xf>
    <xf numFmtId="0" fontId="10" fillId="0" borderId="0" xfId="2" applyAlignment="1">
      <alignment vertical="center" wrapText="1"/>
    </xf>
    <xf numFmtId="0" fontId="56" fillId="0" borderId="5" xfId="0" applyFont="1" applyBorder="1" applyAlignment="1">
      <alignment horizontal="center"/>
    </xf>
    <xf numFmtId="0" fontId="56" fillId="0" borderId="6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165" fontId="0" fillId="0" borderId="0" xfId="0" applyNumberFormat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0" fontId="14" fillId="14" borderId="0" xfId="0" applyFont="1" applyFill="1" applyAlignment="1">
      <alignment horizontal="center" vertical="center"/>
    </xf>
    <xf numFmtId="0" fontId="14" fillId="14" borderId="75" xfId="0" applyFont="1" applyFill="1" applyBorder="1" applyAlignment="1">
      <alignment horizontal="center" vertical="center"/>
    </xf>
    <xf numFmtId="0" fontId="36" fillId="7" borderId="61" xfId="0" applyFont="1" applyFill="1" applyBorder="1" applyAlignment="1">
      <alignment horizontal="center" vertical="center" wrapText="1"/>
    </xf>
    <xf numFmtId="0" fontId="36" fillId="7" borderId="62" xfId="0" applyFont="1" applyFill="1" applyBorder="1" applyAlignment="1">
      <alignment horizontal="center" vertical="center" wrapText="1"/>
    </xf>
    <xf numFmtId="0" fontId="36" fillId="7" borderId="63" xfId="0" applyFont="1" applyFill="1" applyBorder="1" applyAlignment="1">
      <alignment horizontal="center" vertical="center" wrapText="1"/>
    </xf>
    <xf numFmtId="0" fontId="26" fillId="2" borderId="72" xfId="0" applyFont="1" applyFill="1" applyBorder="1" applyAlignment="1">
      <alignment horizontal="left" vertical="center" wrapText="1" indent="1"/>
    </xf>
    <xf numFmtId="0" fontId="2" fillId="0" borderId="73" xfId="0" applyFont="1" applyBorder="1" applyAlignment="1">
      <alignment horizontal="left" vertical="center" wrapText="1" indent="1"/>
    </xf>
    <xf numFmtId="0" fontId="26" fillId="2" borderId="39" xfId="0" applyFont="1" applyFill="1" applyBorder="1" applyAlignment="1">
      <alignment horizontal="left" vertical="center" wrapText="1" indent="1"/>
    </xf>
    <xf numFmtId="0" fontId="2" fillId="0" borderId="39" xfId="0" applyFont="1" applyBorder="1" applyAlignment="1">
      <alignment horizontal="left" vertical="center" wrapText="1" indent="1"/>
    </xf>
    <xf numFmtId="0" fontId="33" fillId="2" borderId="0" xfId="0" applyFont="1" applyFill="1" applyAlignment="1">
      <alignment horizontal="center" wrapText="1"/>
    </xf>
    <xf numFmtId="0" fontId="31" fillId="0" borderId="39" xfId="0" applyFont="1" applyBorder="1" applyAlignment="1">
      <alignment horizontal="left" vertical="center" wrapText="1" indent="1"/>
    </xf>
    <xf numFmtId="0" fontId="26" fillId="0" borderId="59" xfId="0" applyFont="1" applyBorder="1" applyAlignment="1">
      <alignment horizontal="left" vertical="center" indent="1"/>
    </xf>
    <xf numFmtId="0" fontId="26" fillId="0" borderId="64" xfId="0" applyFont="1" applyBorder="1" applyAlignment="1">
      <alignment horizontal="left" vertical="center" indent="1"/>
    </xf>
    <xf numFmtId="0" fontId="26" fillId="0" borderId="39" xfId="0" applyFont="1" applyBorder="1" applyAlignment="1">
      <alignment horizontal="left" vertical="center" indent="1"/>
    </xf>
    <xf numFmtId="0" fontId="26" fillId="0" borderId="39" xfId="0" applyFont="1" applyBorder="1" applyAlignment="1">
      <alignment horizontal="left" vertical="center" wrapText="1" indent="1"/>
    </xf>
    <xf numFmtId="0" fontId="31" fillId="0" borderId="39" xfId="0" applyFont="1" applyBorder="1" applyAlignment="1">
      <alignment horizontal="left" vertical="center" indent="1"/>
    </xf>
    <xf numFmtId="0" fontId="33" fillId="2" borderId="0" xfId="0" applyFont="1" applyFill="1" applyAlignment="1">
      <alignment horizontal="center" vertical="center" wrapText="1"/>
    </xf>
    <xf numFmtId="0" fontId="41" fillId="8" borderId="5" xfId="0" applyFont="1" applyFill="1" applyBorder="1" applyAlignment="1">
      <alignment horizontal="center"/>
    </xf>
    <xf numFmtId="0" fontId="41" fillId="8" borderId="6" xfId="0" applyFont="1" applyFill="1" applyBorder="1" applyAlignment="1">
      <alignment horizontal="center"/>
    </xf>
    <xf numFmtId="0" fontId="41" fillId="8" borderId="7" xfId="0" applyFont="1" applyFill="1" applyBorder="1" applyAlignment="1">
      <alignment horizontal="center"/>
    </xf>
    <xf numFmtId="0" fontId="38" fillId="0" borderId="3" xfId="0" applyFont="1" applyBorder="1" applyAlignment="1">
      <alignment horizontal="left"/>
    </xf>
    <xf numFmtId="0" fontId="38" fillId="0" borderId="20" xfId="0" applyFont="1" applyBorder="1" applyAlignment="1">
      <alignment horizontal="left"/>
    </xf>
    <xf numFmtId="0" fontId="0" fillId="2" borderId="0" xfId="0" applyFill="1" applyAlignment="1">
      <alignment horizontal="right" vertical="center"/>
    </xf>
    <xf numFmtId="0" fontId="11" fillId="0" borderId="67" xfId="0" applyFont="1" applyBorder="1" applyAlignment="1">
      <alignment horizontal="right" vertical="center" wrapText="1"/>
    </xf>
    <xf numFmtId="0" fontId="11" fillId="0" borderId="67" xfId="0" applyFont="1" applyBorder="1" applyAlignment="1">
      <alignment horizontal="right" vertical="center"/>
    </xf>
    <xf numFmtId="0" fontId="38" fillId="0" borderId="39" xfId="0" applyFont="1" applyBorder="1" applyAlignment="1">
      <alignment horizontal="right" vertical="center" indent="1"/>
    </xf>
    <xf numFmtId="0" fontId="0" fillId="0" borderId="39" xfId="0" applyBorder="1" applyAlignment="1">
      <alignment horizontal="right" vertical="center" indent="1"/>
    </xf>
    <xf numFmtId="0" fontId="0" fillId="2" borderId="0" xfId="0" applyFill="1" applyAlignment="1">
      <alignment horizontal="right"/>
    </xf>
    <xf numFmtId="0" fontId="49" fillId="0" borderId="0" xfId="0" applyFont="1" applyAlignment="1">
      <alignment horizontal="left"/>
    </xf>
    <xf numFmtId="0" fontId="38" fillId="0" borderId="39" xfId="0" applyFont="1" applyBorder="1" applyAlignment="1">
      <alignment horizontal="right" vertical="center" wrapText="1" indent="1"/>
    </xf>
    <xf numFmtId="0" fontId="0" fillId="0" borderId="39" xfId="0" applyBorder="1" applyAlignment="1">
      <alignment horizontal="right" vertical="center" wrapText="1" indent="1"/>
    </xf>
    <xf numFmtId="0" fontId="41" fillId="13" borderId="5" xfId="0" applyFont="1" applyFill="1" applyBorder="1" applyAlignment="1">
      <alignment horizontal="center"/>
    </xf>
    <xf numFmtId="0" fontId="41" fillId="13" borderId="6" xfId="0" applyFont="1" applyFill="1" applyBorder="1" applyAlignment="1">
      <alignment horizontal="center"/>
    </xf>
    <xf numFmtId="0" fontId="41" fillId="13" borderId="7" xfId="0" applyFont="1" applyFill="1" applyBorder="1" applyAlignment="1">
      <alignment horizontal="center"/>
    </xf>
    <xf numFmtId="0" fontId="38" fillId="2" borderId="39" xfId="0" applyFont="1" applyFill="1" applyBorder="1" applyAlignment="1">
      <alignment horizontal="left" vertical="center" indent="1"/>
    </xf>
    <xf numFmtId="0" fontId="39" fillId="17" borderId="0" xfId="0" applyFont="1" applyFill="1" applyAlignment="1">
      <alignment horizontal="center"/>
    </xf>
    <xf numFmtId="0" fontId="39" fillId="17" borderId="0" xfId="0" applyFont="1" applyFill="1" applyAlignment="1">
      <alignment vertical="center" wrapText="1"/>
    </xf>
    <xf numFmtId="0" fontId="50" fillId="17" borderId="0" xfId="0" applyFont="1" applyFill="1" applyAlignment="1">
      <alignment horizontal="center"/>
    </xf>
    <xf numFmtId="0" fontId="43" fillId="2" borderId="0" xfId="0" applyFont="1" applyFill="1" applyAlignment="1">
      <alignment horizontal="center" wrapText="1"/>
    </xf>
    <xf numFmtId="0" fontId="43" fillId="2" borderId="68" xfId="0" applyFont="1" applyFill="1" applyBorder="1" applyAlignment="1">
      <alignment horizontal="center" wrapText="1"/>
    </xf>
    <xf numFmtId="0" fontId="0" fillId="2" borderId="39" xfId="0" applyFill="1" applyBorder="1" applyAlignment="1">
      <alignment horizontal="left" vertical="center" indent="1"/>
    </xf>
    <xf numFmtId="165" fontId="0" fillId="13" borderId="4" xfId="0" applyNumberFormat="1" applyFill="1" applyBorder="1" applyAlignment="1">
      <alignment horizontal="right"/>
    </xf>
    <xf numFmtId="165" fontId="0" fillId="13" borderId="9" xfId="0" applyNumberFormat="1" applyFill="1" applyBorder="1" applyAlignment="1">
      <alignment horizontal="right"/>
    </xf>
    <xf numFmtId="0" fontId="38" fillId="13" borderId="3" xfId="0" applyFont="1" applyFill="1" applyBorder="1" applyAlignment="1">
      <alignment horizontal="left"/>
    </xf>
    <xf numFmtId="0" fontId="38" fillId="13" borderId="20" xfId="0" applyFont="1" applyFill="1" applyBorder="1" applyAlignment="1">
      <alignment horizontal="left"/>
    </xf>
    <xf numFmtId="165" fontId="0" fillId="13" borderId="0" xfId="0" applyNumberFormat="1" applyFill="1" applyAlignment="1">
      <alignment horizontal="right"/>
    </xf>
    <xf numFmtId="165" fontId="0" fillId="13" borderId="8" xfId="0" applyNumberFormat="1" applyFill="1" applyBorder="1" applyAlignment="1">
      <alignment horizontal="right"/>
    </xf>
    <xf numFmtId="0" fontId="15" fillId="2" borderId="61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38" fillId="2" borderId="39" xfId="0" applyFont="1" applyFill="1" applyBorder="1" applyAlignment="1">
      <alignment vertical="center" wrapText="1"/>
    </xf>
    <xf numFmtId="0" fontId="0" fillId="2" borderId="39" xfId="0" applyFill="1" applyBorder="1" applyAlignment="1">
      <alignment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0" fillId="2" borderId="17" xfId="2" applyFill="1" applyBorder="1" applyAlignment="1">
      <alignment horizontal="center" vertical="center"/>
    </xf>
    <xf numFmtId="0" fontId="10" fillId="2" borderId="18" xfId="2" applyFill="1" applyBorder="1" applyAlignment="1">
      <alignment horizontal="center" vertical="center"/>
    </xf>
    <xf numFmtId="0" fontId="10" fillId="2" borderId="19" xfId="2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wrapText="1"/>
    </xf>
  </cellXfs>
  <cellStyles count="5">
    <cellStyle name="Euro" xfId="1" xr:uid="{00000000-0005-0000-0000-000000000000}"/>
    <cellStyle name="Lien hypertexte" xfId="2" builtinId="8"/>
    <cellStyle name="Monétaire" xfId="3" builtinId="4"/>
    <cellStyle name="Normal" xfId="0" builtinId="0"/>
    <cellStyle name="Pourcentage" xfId="4" builtinId="5"/>
  </cellStyles>
  <dxfs count="16"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lor theme="0"/>
      </font>
    </dxf>
    <dxf>
      <font>
        <color theme="5" tint="0.79998168889431442"/>
      </font>
    </dxf>
    <dxf>
      <font>
        <color theme="4" tint="0.79998168889431442"/>
      </font>
    </dxf>
    <dxf>
      <font>
        <color theme="0" tint="-4.9989318521683403E-2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ont>
        <color rgb="FF006100"/>
      </font>
      <fill>
        <patternFill>
          <bgColor rgb="FF92D050"/>
        </patternFill>
      </fill>
    </dxf>
    <dxf>
      <font>
        <strike val="0"/>
        <u val="double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15" fmlaLink="$D$117" horiz="1" max="100" page="0" val="8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cgtsocgen.f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630771</xdr:colOff>
      <xdr:row>16</xdr:row>
      <xdr:rowOff>93134</xdr:rowOff>
    </xdr:from>
    <xdr:to>
      <xdr:col>15</xdr:col>
      <xdr:colOff>745069</xdr:colOff>
      <xdr:row>23</xdr:row>
      <xdr:rowOff>277672</xdr:rowOff>
    </xdr:to>
    <xdr:pic>
      <xdr:nvPicPr>
        <xdr:cNvPr id="3" name="Imag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7038" y="2836334"/>
          <a:ext cx="3297764" cy="181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393699</xdr:colOff>
      <xdr:row>7</xdr:row>
      <xdr:rowOff>124976</xdr:rowOff>
    </xdr:to>
    <xdr:pic>
      <xdr:nvPicPr>
        <xdr:cNvPr id="2" name="Image 14" descr="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50384" cy="1212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129540</xdr:rowOff>
        </xdr:from>
        <xdr:to>
          <xdr:col>3</xdr:col>
          <xdr:colOff>2529840</xdr:colOff>
          <xdr:row>58</xdr:row>
          <xdr:rowOff>495300</xdr:rowOff>
        </xdr:to>
        <xdr:sp macro="" textlink="">
          <xdr:nvSpPr>
            <xdr:cNvPr id="7169" name="Scroll Bar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33163/AppData/Local/Microsoft/Windows/INetCache/Content.Outlook/5AGZANPW/Calculette%20abondement%202021%20CGT%20nouvel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ent/SeaDrive/Partage&#769;%20avec%20moi/SG%20PMAS_Akkalia/2021/Socie&#769;te&#769;_Ge&#769;ne&#769;rale_2021/P+I/03%20-%20REFERENTIEL/03%20-%20CONTENUS/04%20-%20SIMULATEURS/Simulateur-abondement-SGPM%20-%20V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33163/AppData/Local/Microsoft/Windows/INetCache/Content.Outlook/5AGZANPW/Calculette%20abondement%202022%20CGT%20nouvelle%20interf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face simplifiée"/>
      <sheetName val="Politique d'abondement SGPM"/>
      <sheetName val="Simuler mon abondement SGPM"/>
      <sheetName val="Maximiser mon abondement SGPM"/>
    </sheetNames>
    <sheetDataSet>
      <sheetData sheetId="0" refreshError="1"/>
      <sheetData sheetId="1" refreshError="1"/>
      <sheetData sheetId="2">
        <row r="7">
          <cell r="C7">
            <v>0</v>
          </cell>
        </row>
        <row r="8">
          <cell r="C8">
            <v>0</v>
          </cell>
        </row>
        <row r="10">
          <cell r="C10">
            <v>0</v>
          </cell>
        </row>
        <row r="11">
          <cell r="C11">
            <v>0</v>
          </cell>
        </row>
        <row r="17">
          <cell r="C17">
            <v>0</v>
          </cell>
        </row>
        <row r="18">
          <cell r="C18">
            <v>0</v>
          </cell>
        </row>
        <row r="23">
          <cell r="C23">
            <v>20</v>
          </cell>
        </row>
        <row r="24">
          <cell r="C24">
            <v>162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0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er mon abondement SGP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face simplifiée"/>
      <sheetName val="Simulateur d'abondement SGPM"/>
      <sheetName val="POLITIQUE D'ABONDEMENT SGPM"/>
    </sheetNames>
    <sheetDataSet>
      <sheetData sheetId="0"/>
      <sheetData sheetId="1">
        <row r="35">
          <cell r="C3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142143068" TargetMode="External"/><Relationship Id="rId2" Type="http://schemas.openxmlformats.org/officeDocument/2006/relationships/hyperlink" Target="https://www.cgtsocgen.fr/bookme-prise-de-rdv" TargetMode="External"/><Relationship Id="rId1" Type="http://schemas.openxmlformats.org/officeDocument/2006/relationships/hyperlink" Target="mailto:info@cgtsg.fr&#160;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4C9A-1905-4CC2-BC2A-F821397E3C5F}">
  <dimension ref="A1:P30"/>
  <sheetViews>
    <sheetView showGridLines="0" tabSelected="1" zoomScale="90" zoomScaleNormal="90" zoomScaleSheetLayoutView="90" workbookViewId="0">
      <selection activeCell="A25" sqref="A25"/>
    </sheetView>
  </sheetViews>
  <sheetFormatPr baseColWidth="10" defaultRowHeight="14.4" x14ac:dyDescent="0.3"/>
  <cols>
    <col min="4" max="4" width="13" customWidth="1"/>
    <col min="7" max="7" width="13.88671875" customWidth="1"/>
    <col min="9" max="9" width="22.21875" customWidth="1"/>
    <col min="10" max="10" width="20.44140625" customWidth="1"/>
    <col min="16" max="16" width="16.44140625" customWidth="1"/>
  </cols>
  <sheetData>
    <row r="1" spans="1:16" ht="3.6" customHeight="1" thickBot="1" x14ac:dyDescent="0.35"/>
    <row r="2" spans="1:16" x14ac:dyDescent="0.3">
      <c r="G2" s="305" t="s">
        <v>197</v>
      </c>
      <c r="H2" s="315"/>
      <c r="I2" s="313" t="s">
        <v>196</v>
      </c>
      <c r="J2" s="314"/>
      <c r="K2" s="314"/>
      <c r="L2" s="314"/>
      <c r="M2" s="314"/>
      <c r="N2" s="314"/>
      <c r="O2" s="309"/>
      <c r="P2" s="315"/>
    </row>
    <row r="3" spans="1:16" x14ac:dyDescent="0.3">
      <c r="G3" s="304"/>
      <c r="H3" s="303"/>
      <c r="I3" s="316" t="s">
        <v>195</v>
      </c>
      <c r="J3" s="317"/>
      <c r="K3" s="317"/>
      <c r="L3" s="317"/>
      <c r="M3" s="317"/>
      <c r="N3" s="317"/>
      <c r="O3" s="318"/>
      <c r="P3" s="303"/>
    </row>
    <row r="4" spans="1:16" ht="15" thickBot="1" x14ac:dyDescent="0.35">
      <c r="G4" s="308"/>
      <c r="H4" s="321"/>
      <c r="I4" s="322" t="s">
        <v>208</v>
      </c>
      <c r="J4" s="323"/>
      <c r="K4" s="323"/>
      <c r="L4" s="323"/>
      <c r="M4" s="323"/>
      <c r="N4" s="323"/>
      <c r="O4" s="307"/>
      <c r="P4" s="321"/>
    </row>
    <row r="5" spans="1:16" ht="15" thickBot="1" x14ac:dyDescent="0.35">
      <c r="G5" s="306" t="s">
        <v>194</v>
      </c>
      <c r="H5" s="324"/>
      <c r="I5" s="379" t="s">
        <v>222</v>
      </c>
      <c r="J5" s="361"/>
      <c r="K5" s="309"/>
      <c r="L5" s="309"/>
      <c r="M5" s="309"/>
      <c r="N5" s="309"/>
      <c r="O5" s="309"/>
      <c r="P5" s="315"/>
    </row>
    <row r="6" spans="1:16" x14ac:dyDescent="0.3">
      <c r="I6" s="319" t="s">
        <v>214</v>
      </c>
      <c r="J6" s="318"/>
      <c r="K6" s="318"/>
      <c r="L6" s="318"/>
      <c r="M6" s="318"/>
      <c r="N6" s="318"/>
      <c r="O6" s="318"/>
      <c r="P6" s="303"/>
    </row>
    <row r="7" spans="1:16" x14ac:dyDescent="0.3">
      <c r="I7" s="319" t="s">
        <v>221</v>
      </c>
      <c r="J7" s="318"/>
      <c r="K7" s="318"/>
      <c r="L7" s="318"/>
      <c r="M7" s="318"/>
      <c r="N7" s="318"/>
      <c r="O7" s="318"/>
      <c r="P7" s="303"/>
    </row>
    <row r="8" spans="1:16" ht="15" thickBot="1" x14ac:dyDescent="0.35">
      <c r="I8" s="319" t="s">
        <v>209</v>
      </c>
      <c r="J8" s="318"/>
      <c r="K8" s="318"/>
      <c r="L8" s="318"/>
      <c r="M8" s="318"/>
      <c r="N8" s="318"/>
      <c r="O8" s="318"/>
      <c r="P8" s="303"/>
    </row>
    <row r="9" spans="1:16" ht="15.6" x14ac:dyDescent="0.3">
      <c r="A9" s="325" t="s">
        <v>193</v>
      </c>
      <c r="B9" s="326"/>
      <c r="C9" s="326"/>
      <c r="D9" s="326"/>
      <c r="E9" s="326"/>
      <c r="F9" s="326"/>
      <c r="G9" s="327"/>
      <c r="I9" s="319" t="s">
        <v>210</v>
      </c>
      <c r="J9" s="318"/>
      <c r="K9" s="318"/>
      <c r="L9" s="318"/>
      <c r="M9" s="318"/>
      <c r="N9" s="318"/>
      <c r="O9" s="318"/>
      <c r="P9" s="303"/>
    </row>
    <row r="10" spans="1:16" ht="16.2" thickBot="1" x14ac:dyDescent="0.35">
      <c r="A10" s="328" t="s">
        <v>192</v>
      </c>
      <c r="B10" s="329"/>
      <c r="C10" s="329"/>
      <c r="D10" s="329"/>
      <c r="E10" s="329"/>
      <c r="F10" s="329"/>
      <c r="G10" s="330"/>
      <c r="I10" s="320" t="s">
        <v>211</v>
      </c>
      <c r="J10" s="307"/>
      <c r="K10" s="307"/>
      <c r="L10" s="307"/>
      <c r="M10" s="307"/>
      <c r="N10" s="307"/>
      <c r="O10" s="307"/>
      <c r="P10" s="321"/>
    </row>
    <row r="11" spans="1:16" ht="16.2" thickBot="1" x14ac:dyDescent="0.35">
      <c r="A11" s="287" t="s">
        <v>191</v>
      </c>
    </row>
    <row r="12" spans="1:16" ht="15" thickBot="1" x14ac:dyDescent="0.35">
      <c r="A12" s="305" t="s">
        <v>190</v>
      </c>
      <c r="B12" s="309"/>
      <c r="C12" s="309"/>
      <c r="D12" s="331">
        <v>1000</v>
      </c>
      <c r="E12" s="318"/>
      <c r="F12" s="305" t="s">
        <v>189</v>
      </c>
      <c r="G12" s="334">
        <v>0</v>
      </c>
      <c r="I12" s="353" t="s">
        <v>220</v>
      </c>
      <c r="J12" s="354"/>
      <c r="K12" s="354"/>
      <c r="L12" s="354"/>
      <c r="M12" s="354"/>
      <c r="N12" s="354"/>
      <c r="O12" s="314"/>
      <c r="P12" s="355"/>
    </row>
    <row r="13" spans="1:16" x14ac:dyDescent="0.3">
      <c r="A13" s="304" t="s">
        <v>187</v>
      </c>
      <c r="B13" s="318"/>
      <c r="C13" s="318"/>
      <c r="D13" s="332">
        <v>0</v>
      </c>
      <c r="E13" s="318"/>
      <c r="F13" s="352" t="s">
        <v>186</v>
      </c>
      <c r="G13" s="303"/>
      <c r="I13" s="356" t="s">
        <v>188</v>
      </c>
      <c r="J13" s="357"/>
      <c r="K13" s="357"/>
      <c r="L13" s="357"/>
      <c r="M13" s="357"/>
      <c r="N13" s="357"/>
      <c r="O13" s="317"/>
      <c r="P13" s="358"/>
    </row>
    <row r="14" spans="1:16" ht="15" thickBot="1" x14ac:dyDescent="0.35">
      <c r="A14" s="308" t="s">
        <v>185</v>
      </c>
      <c r="B14" s="307"/>
      <c r="C14" s="307"/>
      <c r="D14" s="333">
        <v>100</v>
      </c>
      <c r="E14" s="318"/>
      <c r="F14" s="308"/>
      <c r="G14" s="321"/>
      <c r="I14" s="356" t="s">
        <v>225</v>
      </c>
      <c r="J14" s="357"/>
      <c r="K14" s="357"/>
      <c r="L14" s="357"/>
      <c r="M14" s="357"/>
      <c r="N14" s="357"/>
      <c r="O14" s="317"/>
      <c r="P14" s="358"/>
    </row>
    <row r="15" spans="1:16" ht="18" x14ac:dyDescent="0.35">
      <c r="A15" s="318"/>
      <c r="B15" s="318"/>
      <c r="C15" s="318"/>
      <c r="D15" s="382"/>
      <c r="E15" s="318"/>
      <c r="F15" s="318"/>
      <c r="G15" s="318"/>
      <c r="I15" s="383" t="s">
        <v>223</v>
      </c>
      <c r="J15" s="357"/>
      <c r="K15" s="357"/>
      <c r="L15" s="357"/>
      <c r="M15" s="357"/>
      <c r="N15" s="357"/>
      <c r="O15" s="317"/>
      <c r="P15" s="358"/>
    </row>
    <row r="16" spans="1:16" ht="18.600000000000001" thickBot="1" x14ac:dyDescent="0.4">
      <c r="I16" s="381" t="s">
        <v>224</v>
      </c>
      <c r="J16" s="359"/>
      <c r="K16" s="380"/>
      <c r="L16" s="359"/>
      <c r="M16" s="359"/>
      <c r="N16" s="359"/>
      <c r="O16" s="323"/>
      <c r="P16" s="360"/>
    </row>
    <row r="17" spans="1:14" ht="15" thickBot="1" x14ac:dyDescent="0.35">
      <c r="A17" s="378" t="s">
        <v>201</v>
      </c>
      <c r="B17" s="20"/>
      <c r="C17" s="20"/>
      <c r="D17" s="375">
        <f>SUM(D12:D16)</f>
        <v>1100</v>
      </c>
      <c r="F17" s="348" t="s">
        <v>213</v>
      </c>
      <c r="G17" s="351">
        <f>'Simuler mon abondement SGPM'!C35+'Simuler mon abondement SGPM'!C36</f>
        <v>1100</v>
      </c>
    </row>
    <row r="18" spans="1:14" ht="15" thickBot="1" x14ac:dyDescent="0.35">
      <c r="A18" s="377"/>
      <c r="B18" s="377"/>
      <c r="C18" s="377"/>
      <c r="F18" s="318"/>
      <c r="G18" s="376"/>
    </row>
    <row r="19" spans="1:14" x14ac:dyDescent="0.3">
      <c r="A19" s="305" t="s">
        <v>184</v>
      </c>
      <c r="B19" s="309"/>
      <c r="C19" s="309"/>
      <c r="D19" s="349">
        <f>'Simuler mon abondement SGPM'!C55</f>
        <v>980</v>
      </c>
      <c r="F19" s="318"/>
      <c r="G19" s="318"/>
    </row>
    <row r="20" spans="1:14" ht="15" thickBot="1" x14ac:dyDescent="0.35">
      <c r="A20" s="308" t="s">
        <v>183</v>
      </c>
      <c r="B20" s="307"/>
      <c r="C20" s="307"/>
      <c r="D20" s="350">
        <f>'Simuler mon abondement SGPM'!D55</f>
        <v>884.94</v>
      </c>
    </row>
    <row r="21" spans="1:14" ht="26.4" thickBot="1" x14ac:dyDescent="0.55000000000000004">
      <c r="F21" s="318"/>
      <c r="G21" s="318"/>
      <c r="I21" s="386" t="s">
        <v>212</v>
      </c>
      <c r="J21" s="387"/>
      <c r="K21" s="388"/>
      <c r="L21" s="312"/>
    </row>
    <row r="22" spans="1:14" ht="18.600000000000001" thickBot="1" x14ac:dyDescent="0.35">
      <c r="A22" s="287" t="s">
        <v>198</v>
      </c>
      <c r="E22" s="374" t="s">
        <v>219</v>
      </c>
      <c r="F22" s="318"/>
      <c r="G22" s="318"/>
      <c r="I22" s="384"/>
      <c r="J22" s="384"/>
      <c r="K22" s="384"/>
    </row>
    <row r="23" spans="1:14" ht="22.2" customHeight="1" x14ac:dyDescent="0.3">
      <c r="A23" s="344" t="s">
        <v>215</v>
      </c>
      <c r="B23" s="362"/>
      <c r="C23" s="362"/>
      <c r="D23" s="363">
        <f>1</f>
        <v>1</v>
      </c>
      <c r="E23" s="364">
        <f>'Simuler mon abondement SGPM'!D39</f>
        <v>100</v>
      </c>
      <c r="F23" s="318"/>
      <c r="G23" s="318"/>
      <c r="I23" s="385"/>
      <c r="J23" s="385"/>
      <c r="K23" s="385"/>
    </row>
    <row r="24" spans="1:14" ht="22.2" customHeight="1" x14ac:dyDescent="0.3">
      <c r="A24" s="345" t="s">
        <v>226</v>
      </c>
      <c r="B24" s="365"/>
      <c r="C24" s="365"/>
      <c r="D24" s="366">
        <f>0</f>
        <v>0</v>
      </c>
      <c r="E24" s="367">
        <f>'Simuler mon abondement SGPM'!D40</f>
        <v>0</v>
      </c>
      <c r="I24" s="385"/>
      <c r="J24" s="385"/>
      <c r="K24" s="385"/>
    </row>
    <row r="25" spans="1:14" ht="24" thickBot="1" x14ac:dyDescent="0.5">
      <c r="A25" s="345" t="s">
        <v>216</v>
      </c>
      <c r="B25" s="365"/>
      <c r="C25" s="365"/>
      <c r="D25" s="366">
        <f>G12</f>
        <v>0</v>
      </c>
      <c r="E25" s="367">
        <f>'Simuler mon abondement SGPM'!D43</f>
        <v>0</v>
      </c>
      <c r="F25" s="318"/>
      <c r="G25" s="318"/>
      <c r="I25" s="310" t="s">
        <v>207</v>
      </c>
      <c r="J25" s="311" t="s">
        <v>202</v>
      </c>
      <c r="K25" s="310"/>
      <c r="L25" s="310"/>
      <c r="M25" s="310"/>
      <c r="N25" s="310"/>
    </row>
    <row r="26" spans="1:14" ht="24" thickBot="1" x14ac:dyDescent="0.5">
      <c r="A26" s="346" t="s">
        <v>217</v>
      </c>
      <c r="B26" s="347"/>
      <c r="C26" s="347"/>
      <c r="D26" s="368">
        <f>1-G12</f>
        <v>1</v>
      </c>
      <c r="E26" s="369">
        <f>'Simuler mon abondement SGPM'!D44</f>
        <v>1000</v>
      </c>
      <c r="F26" s="348" t="s">
        <v>58</v>
      </c>
      <c r="G26" s="343">
        <f>SUM(E23:E26)</f>
        <v>1100</v>
      </c>
      <c r="I26" s="310" t="s">
        <v>203</v>
      </c>
      <c r="J26" s="311" t="s">
        <v>204</v>
      </c>
      <c r="K26" s="310"/>
      <c r="L26" s="310"/>
      <c r="M26" s="310"/>
      <c r="N26" s="310"/>
    </row>
    <row r="27" spans="1:14" ht="24" thickBot="1" x14ac:dyDescent="0.5">
      <c r="I27" s="310" t="s">
        <v>205</v>
      </c>
      <c r="J27" s="311" t="s">
        <v>206</v>
      </c>
    </row>
    <row r="28" spans="1:14" x14ac:dyDescent="0.3">
      <c r="A28" s="336" t="s">
        <v>199</v>
      </c>
      <c r="B28" s="341"/>
      <c r="C28" s="337"/>
      <c r="D28" s="335">
        <f>E24+E26</f>
        <v>1000</v>
      </c>
    </row>
    <row r="29" spans="1:14" ht="15" thickBot="1" x14ac:dyDescent="0.35">
      <c r="A29" s="338" t="s">
        <v>200</v>
      </c>
      <c r="B29" s="342"/>
      <c r="C29" s="339"/>
      <c r="D29" s="340">
        <f>E23+E25</f>
        <v>100</v>
      </c>
    </row>
    <row r="30" spans="1:14" ht="15" thickBot="1" x14ac:dyDescent="0.35">
      <c r="A30" s="370" t="s">
        <v>218</v>
      </c>
      <c r="B30" s="371"/>
      <c r="C30" s="372"/>
      <c r="D30" s="373">
        <f>D20+D28+D29</f>
        <v>1984.94</v>
      </c>
    </row>
  </sheetData>
  <mergeCells count="3">
    <mergeCell ref="I22:K22"/>
    <mergeCell ref="I23:K24"/>
    <mergeCell ref="I21:K21"/>
  </mergeCells>
  <conditionalFormatting sqref="G17:G18">
    <cfRule type="cellIs" dxfId="15" priority="2" operator="notEqual">
      <formula>$D$17</formula>
    </cfRule>
    <cfRule type="cellIs" dxfId="14" priority="3" operator="equal">
      <formula>$D$17</formula>
    </cfRule>
  </conditionalFormatting>
  <conditionalFormatting sqref="G26">
    <cfRule type="cellIs" dxfId="13" priority="1" operator="equal">
      <formula>$D$12+$D$13+$D$14</formula>
    </cfRule>
  </conditionalFormatting>
  <hyperlinks>
    <hyperlink ref="J26" r:id="rId1" xr:uid="{17B4D289-1E68-494A-B21D-1C1430B07FFA}"/>
    <hyperlink ref="J25" r:id="rId2" xr:uid="{4FEB8E3B-4258-4A0D-9680-4941F6BC5D0A}"/>
    <hyperlink ref="J27" r:id="rId3" xr:uid="{A928D85D-0DCD-42DB-AF37-B80F9F3C2EC8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AE84"/>
  <sheetViews>
    <sheetView topLeftCell="A37" zoomScaleNormal="100" workbookViewId="0">
      <selection activeCell="C37" sqref="C37"/>
    </sheetView>
  </sheetViews>
  <sheetFormatPr baseColWidth="10" defaultColWidth="0" defaultRowHeight="14.4" x14ac:dyDescent="0.3"/>
  <cols>
    <col min="1" max="1" width="63.6640625" style="1" customWidth="1"/>
    <col min="2" max="2" width="77.33203125" style="1" customWidth="1"/>
    <col min="3" max="3" width="27.109375" style="1" customWidth="1"/>
    <col min="4" max="4" width="29.33203125" style="1" customWidth="1"/>
    <col min="5" max="5" width="38" style="1" customWidth="1"/>
    <col min="6" max="7" width="6.77734375" style="1" customWidth="1"/>
    <col min="8" max="8" width="5.77734375" style="1" hidden="1" customWidth="1"/>
    <col min="9" max="9" width="0.109375" style="1" customWidth="1"/>
    <col min="10" max="10" width="45.44140625" style="1" hidden="1" customWidth="1"/>
    <col min="11" max="11" width="7.6640625" style="1" hidden="1" customWidth="1"/>
    <col min="12" max="12" width="11.109375" style="1" hidden="1" customWidth="1"/>
    <col min="13" max="13" width="13.109375" style="1" hidden="1" customWidth="1"/>
    <col min="14" max="14" width="10" style="1" hidden="1" customWidth="1"/>
    <col min="15" max="15" width="15.109375" style="1" hidden="1" customWidth="1"/>
    <col min="16" max="16" width="12" style="1" hidden="1" customWidth="1"/>
    <col min="17" max="17" width="13.109375" style="1" hidden="1" customWidth="1"/>
    <col min="18" max="18" width="13.6640625" style="1" hidden="1" customWidth="1"/>
    <col min="19" max="19" width="18" style="1" hidden="1" customWidth="1"/>
    <col min="20" max="20" width="16.109375" style="1" hidden="1" customWidth="1"/>
    <col min="21" max="21" width="37.6640625" style="1" hidden="1" customWidth="1"/>
    <col min="22" max="22" width="19.77734375" style="1" hidden="1" customWidth="1"/>
    <col min="23" max="23" width="30.109375" style="1" hidden="1" customWidth="1"/>
    <col min="24" max="24" width="32.6640625" style="1" hidden="1" customWidth="1"/>
    <col min="25" max="25" width="24.6640625" style="1" hidden="1" customWidth="1"/>
    <col min="26" max="26" width="29.6640625" style="1" hidden="1" customWidth="1"/>
    <col min="27" max="27" width="7.6640625" style="1" hidden="1" customWidth="1"/>
    <col min="28" max="28" width="14" style="1" hidden="1" customWidth="1"/>
    <col min="29" max="29" width="13.6640625" style="1" hidden="1" customWidth="1"/>
    <col min="30" max="16384" width="17.44140625" style="1" hidden="1"/>
  </cols>
  <sheetData>
    <row r="2" spans="1:23" ht="40.049999999999997" customHeight="1" thickBot="1" x14ac:dyDescent="0.35">
      <c r="A2" s="400" t="s">
        <v>61</v>
      </c>
      <c r="B2" s="401"/>
      <c r="C2" s="401"/>
      <c r="D2" s="401"/>
      <c r="E2" s="401"/>
      <c r="F2" s="401"/>
      <c r="G2" s="402"/>
    </row>
    <row r="3" spans="1:23" ht="16.2" thickBot="1" x14ac:dyDescent="0.35">
      <c r="A3" s="405" t="s">
        <v>23</v>
      </c>
      <c r="B3" s="408"/>
      <c r="C3" s="83" t="s">
        <v>24</v>
      </c>
      <c r="D3" s="54"/>
      <c r="E3" s="54"/>
      <c r="F3" s="54"/>
      <c r="G3" s="74"/>
      <c r="J3" s="17" t="s">
        <v>19</v>
      </c>
      <c r="O3" s="19" t="s">
        <v>16</v>
      </c>
      <c r="P3" s="20"/>
      <c r="Q3" s="21">
        <f>IF(C3="OUI",0.903,1)</f>
        <v>0.90300000000000002</v>
      </c>
    </row>
    <row r="4" spans="1:23" x14ac:dyDescent="0.3">
      <c r="A4" s="75"/>
      <c r="B4" s="75"/>
      <c r="C4" s="75"/>
      <c r="D4" s="56"/>
      <c r="G4" s="78"/>
      <c r="J4" s="3"/>
    </row>
    <row r="5" spans="1:23" ht="15.6" x14ac:dyDescent="0.3">
      <c r="A5" s="403" t="s">
        <v>143</v>
      </c>
      <c r="B5" s="404"/>
      <c r="C5" s="54"/>
      <c r="D5" s="54"/>
      <c r="E5" s="54"/>
      <c r="F5" s="54"/>
      <c r="G5" s="74"/>
      <c r="J5" s="17"/>
      <c r="O5" s="3"/>
    </row>
    <row r="6" spans="1:23" ht="15.6" x14ac:dyDescent="0.3">
      <c r="A6" s="405" t="s">
        <v>144</v>
      </c>
      <c r="B6" s="406"/>
      <c r="C6" s="83" t="s">
        <v>177</v>
      </c>
      <c r="D6" s="54"/>
      <c r="E6" s="54"/>
      <c r="F6" s="54"/>
      <c r="G6" s="74"/>
      <c r="J6" s="17"/>
      <c r="O6" s="3"/>
    </row>
    <row r="7" spans="1:23" ht="15.6" x14ac:dyDescent="0.3">
      <c r="A7" s="405" t="s">
        <v>145</v>
      </c>
      <c r="B7" s="406"/>
      <c r="C7" s="83" t="s">
        <v>177</v>
      </c>
      <c r="D7" s="54"/>
      <c r="E7" s="54"/>
      <c r="F7" s="54"/>
      <c r="G7" s="74"/>
      <c r="J7" s="17"/>
      <c r="O7" s="3"/>
    </row>
    <row r="8" spans="1:23" x14ac:dyDescent="0.3">
      <c r="A8" s="75"/>
      <c r="B8" s="75"/>
      <c r="C8" s="75"/>
      <c r="D8" s="56"/>
      <c r="G8" s="78"/>
      <c r="J8" s="3"/>
    </row>
    <row r="9" spans="1:23" ht="15.6" hidden="1" x14ac:dyDescent="0.3">
      <c r="A9" s="72"/>
      <c r="B9" s="55"/>
      <c r="C9" s="55"/>
      <c r="D9" s="55"/>
      <c r="G9" s="78"/>
      <c r="K9" s="4" t="s">
        <v>2</v>
      </c>
      <c r="L9" s="4" t="s">
        <v>1</v>
      </c>
      <c r="M9" s="4" t="s">
        <v>3</v>
      </c>
      <c r="N9" s="4" t="s">
        <v>4</v>
      </c>
      <c r="O9" s="4" t="s">
        <v>5</v>
      </c>
      <c r="P9" s="4" t="s">
        <v>6</v>
      </c>
      <c r="Q9" s="3" t="s">
        <v>21</v>
      </c>
      <c r="R9" s="3" t="s">
        <v>20</v>
      </c>
      <c r="S9" s="3" t="s">
        <v>22</v>
      </c>
      <c r="T9" s="3" t="s">
        <v>32</v>
      </c>
      <c r="U9" s="3" t="s">
        <v>31</v>
      </c>
      <c r="V9" s="3"/>
      <c r="W9" s="3"/>
    </row>
    <row r="10" spans="1:23" hidden="1" x14ac:dyDescent="0.3">
      <c r="A10" s="59"/>
      <c r="B10" s="60"/>
      <c r="C10" s="55"/>
      <c r="D10" s="55"/>
      <c r="G10" s="78"/>
      <c r="S10" s="7">
        <v>2200</v>
      </c>
      <c r="T10" s="7"/>
      <c r="U10" s="18">
        <v>3241.92</v>
      </c>
      <c r="V10" s="18"/>
      <c r="W10" s="18"/>
    </row>
    <row r="11" spans="1:23" ht="15.6" hidden="1" x14ac:dyDescent="0.3">
      <c r="A11" s="409" t="s">
        <v>84</v>
      </c>
      <c r="B11" s="410"/>
      <c r="C11" s="105">
        <f>W73</f>
        <v>0</v>
      </c>
      <c r="D11" s="55"/>
      <c r="E11" s="407" t="str">
        <f>IF(AND(ISERROR(SEARCH(".",DV_REL)),ISERROR(SEARCH(".",DV_DIV))),IF(OR(NOT(ISNUMBER(DV_REL)),NOT(ISNUMBER(DV_DIV))),"Les montants saisis doivent être des nombres.",""),"Le séparateur de décimales doit être une virgule.")</f>
        <v/>
      </c>
      <c r="F11" s="407"/>
      <c r="G11" s="78"/>
      <c r="J11" s="5" t="s">
        <v>46</v>
      </c>
      <c r="K11" s="8">
        <v>2</v>
      </c>
      <c r="L11" s="6">
        <v>200</v>
      </c>
      <c r="M11" s="8">
        <v>0.6</v>
      </c>
      <c r="N11" s="6">
        <v>1000</v>
      </c>
      <c r="O11" s="8">
        <v>0.45</v>
      </c>
      <c r="P11" s="45">
        <v>999999</v>
      </c>
      <c r="Q11" s="16">
        <f>L11*K11+(N11-L11)*M11+(P11-N11)*O11</f>
        <v>450429.55</v>
      </c>
      <c r="R11" s="16">
        <f>2200-DP_REL</f>
        <v>2200</v>
      </c>
      <c r="S11" s="7">
        <f>$S$10</f>
        <v>2200</v>
      </c>
      <c r="T11" s="7">
        <f>S11-(DP_REL+DP_DIV+DP_MUT_REL+DP_MUT_DIV)</f>
        <v>2200</v>
      </c>
      <c r="U11" s="2">
        <f>U10-(DP_REL+DP_DIV+DP_MUT_REL+DP_MUT_DIV)</f>
        <v>3241.92</v>
      </c>
    </row>
    <row r="12" spans="1:23" ht="15.6" hidden="1" x14ac:dyDescent="0.3">
      <c r="A12" s="409" t="s">
        <v>85</v>
      </c>
      <c r="B12" s="410"/>
      <c r="C12" s="105">
        <f>W83</f>
        <v>0</v>
      </c>
      <c r="D12" s="55"/>
      <c r="E12" s="407"/>
      <c r="F12" s="407"/>
      <c r="G12" s="78"/>
      <c r="J12" s="5" t="s">
        <v>0</v>
      </c>
      <c r="K12" s="8">
        <v>1.5</v>
      </c>
      <c r="L12" s="6">
        <v>200</v>
      </c>
      <c r="M12" s="8">
        <v>0.6</v>
      </c>
      <c r="N12" s="6">
        <v>1000</v>
      </c>
      <c r="O12" s="8">
        <v>0.45</v>
      </c>
      <c r="P12" s="45">
        <v>999999</v>
      </c>
      <c r="Q12" s="16">
        <f>L12*K12+(N12-L12)*M12+(P12-N12)*O12</f>
        <v>450329.55</v>
      </c>
      <c r="R12" s="16">
        <f>1100-DP_DIV</f>
        <v>1100</v>
      </c>
      <c r="S12" s="7">
        <f>$S$10</f>
        <v>2200</v>
      </c>
      <c r="T12" s="7">
        <f>S12-(DP_REL+DP_DIV+DP_MUT_REL+DP_MUT_DIV)</f>
        <v>2200</v>
      </c>
      <c r="U12" s="2">
        <f>U10-(DP_REL+DP_DIV+DP_MUT_REL+DP_MUT_DIV)</f>
        <v>3241.92</v>
      </c>
    </row>
    <row r="13" spans="1:23" ht="18" hidden="1" x14ac:dyDescent="0.35">
      <c r="A13" s="288"/>
      <c r="B13" s="72"/>
      <c r="C13" s="72"/>
      <c r="D13" s="72"/>
      <c r="E13" s="121"/>
      <c r="F13" s="121"/>
      <c r="G13" s="78"/>
      <c r="J13" s="3"/>
      <c r="K13" s="289"/>
      <c r="L13" s="290"/>
      <c r="M13" s="289"/>
      <c r="N13" s="290"/>
      <c r="O13" s="289"/>
      <c r="P13" s="291"/>
      <c r="Q13" s="16"/>
      <c r="R13" s="16"/>
      <c r="S13" s="7"/>
      <c r="T13" s="7"/>
      <c r="U13" s="2"/>
    </row>
    <row r="14" spans="1:23" ht="18" hidden="1" x14ac:dyDescent="0.35">
      <c r="A14" s="72"/>
      <c r="B14" s="72"/>
      <c r="C14" s="72"/>
      <c r="D14" s="72"/>
      <c r="E14" s="121"/>
      <c r="F14" s="121"/>
      <c r="G14" s="78"/>
      <c r="J14" s="3"/>
      <c r="K14" s="289"/>
      <c r="L14" s="290"/>
      <c r="M14" s="289"/>
      <c r="N14" s="290"/>
      <c r="O14" s="289"/>
      <c r="P14" s="291"/>
      <c r="Q14" s="16"/>
      <c r="R14" s="16"/>
      <c r="S14" s="7"/>
      <c r="T14" s="7"/>
      <c r="U14" s="2"/>
    </row>
    <row r="15" spans="1:23" ht="18" hidden="1" x14ac:dyDescent="0.35">
      <c r="A15" s="72"/>
      <c r="B15" s="72"/>
      <c r="C15" s="72"/>
      <c r="D15" s="72"/>
      <c r="E15" s="121"/>
      <c r="F15" s="121"/>
      <c r="G15" s="78"/>
      <c r="J15" s="3"/>
      <c r="K15" s="289"/>
      <c r="L15" s="290"/>
      <c r="M15" s="289"/>
      <c r="N15" s="290"/>
      <c r="O15" s="289"/>
      <c r="P15" s="291"/>
      <c r="Q15" s="16"/>
      <c r="R15" s="16"/>
      <c r="S15" s="7"/>
      <c r="T15" s="7"/>
      <c r="U15" s="2"/>
    </row>
    <row r="16" spans="1:23" ht="18" hidden="1" x14ac:dyDescent="0.35">
      <c r="A16" s="405" t="s">
        <v>159</v>
      </c>
      <c r="B16" s="406"/>
      <c r="C16" s="105">
        <f>C20*$Q$3</f>
        <v>0</v>
      </c>
      <c r="D16" s="55"/>
      <c r="E16" s="121"/>
      <c r="F16" s="121"/>
      <c r="G16" s="78"/>
      <c r="J16" s="3"/>
      <c r="K16" s="289"/>
      <c r="L16" s="290"/>
      <c r="M16" s="289"/>
      <c r="N16" s="290"/>
      <c r="O16" s="289"/>
      <c r="P16" s="291"/>
      <c r="Q16" s="16"/>
      <c r="R16" s="16"/>
      <c r="S16" s="7"/>
      <c r="T16" s="7"/>
      <c r="U16" s="2"/>
    </row>
    <row r="17" spans="1:30" ht="18" hidden="1" x14ac:dyDescent="0.35">
      <c r="A17" s="405" t="s">
        <v>160</v>
      </c>
      <c r="B17" s="406"/>
      <c r="C17" s="105">
        <f>C21*$Q$3</f>
        <v>0</v>
      </c>
      <c r="D17" s="55"/>
      <c r="E17" s="121"/>
      <c r="F17" s="121"/>
      <c r="G17" s="78"/>
      <c r="J17" s="3"/>
      <c r="K17" s="289"/>
      <c r="L17" s="290"/>
      <c r="M17" s="289"/>
      <c r="N17" s="290"/>
      <c r="O17" s="289"/>
      <c r="P17" s="291"/>
      <c r="Q17" s="16"/>
      <c r="R17" s="16"/>
      <c r="S17" s="7"/>
      <c r="T17" s="7"/>
      <c r="U17" s="2"/>
    </row>
    <row r="18" spans="1:30" ht="18" hidden="1" x14ac:dyDescent="0.35">
      <c r="A18" s="292" t="str">
        <f>IF(C6="OUI","Vous trouverez ces informations sur le site d’affectation des primes et de souscription au PMAS, dans la section « Mon Profil / Votre compte »","")</f>
        <v/>
      </c>
      <c r="B18" s="293"/>
      <c r="C18" s="294"/>
      <c r="D18" s="55"/>
      <c r="E18" s="121"/>
      <c r="F18" s="121"/>
      <c r="G18" s="78"/>
      <c r="J18" s="3"/>
      <c r="K18" s="289"/>
      <c r="L18" s="290"/>
      <c r="M18" s="289"/>
      <c r="N18" s="290"/>
      <c r="O18" s="289"/>
      <c r="P18" s="291"/>
      <c r="Q18" s="16"/>
      <c r="R18" s="16"/>
      <c r="S18" s="7"/>
      <c r="T18" s="7"/>
      <c r="U18" s="2"/>
    </row>
    <row r="19" spans="1:30" hidden="1" x14ac:dyDescent="0.3">
      <c r="A19" s="62"/>
      <c r="B19" s="56"/>
      <c r="C19" s="56"/>
      <c r="D19" s="55"/>
      <c r="G19" s="78"/>
    </row>
    <row r="20" spans="1:30" ht="15.6" x14ac:dyDescent="0.3">
      <c r="A20" s="411" t="s">
        <v>178</v>
      </c>
      <c r="B20" s="411"/>
      <c r="C20" s="105">
        <v>0</v>
      </c>
      <c r="D20" s="55"/>
      <c r="G20" s="78"/>
      <c r="V20" s="2"/>
    </row>
    <row r="21" spans="1:30" ht="15.6" x14ac:dyDescent="0.3">
      <c r="A21" s="411" t="s">
        <v>180</v>
      </c>
      <c r="B21" s="411"/>
      <c r="C21" s="105">
        <v>0</v>
      </c>
      <c r="D21" s="55"/>
      <c r="G21" s="78"/>
      <c r="J21" s="46" t="s">
        <v>34</v>
      </c>
      <c r="K21" s="46"/>
      <c r="L21" s="47"/>
      <c r="M21" s="47"/>
      <c r="N21" s="47"/>
      <c r="O21" s="47"/>
      <c r="P21" s="47"/>
      <c r="Q21" s="47"/>
      <c r="R21" s="47"/>
      <c r="S21" s="47"/>
      <c r="U21" s="46" t="s">
        <v>67</v>
      </c>
      <c r="V21" s="46"/>
      <c r="W21" s="47"/>
      <c r="X21" s="47"/>
      <c r="Y21" s="47"/>
      <c r="Z21" s="47"/>
      <c r="AA21" s="47"/>
      <c r="AB21" s="47"/>
      <c r="AC21" s="47"/>
      <c r="AD21" s="47"/>
    </row>
    <row r="22" spans="1:30" ht="18" x14ac:dyDescent="0.35">
      <c r="A22" s="292" t="str">
        <f>IF(C6="OUI","Vous trouverez ces informations sur le site d’affectation des primes et de souscription au PMAS, dans la section « Mon Profil / Votre compte »","")</f>
        <v/>
      </c>
      <c r="B22" s="293"/>
      <c r="C22" s="294"/>
      <c r="D22" s="55"/>
      <c r="E22" s="121"/>
      <c r="F22" s="121"/>
      <c r="G22" s="78"/>
      <c r="J22" s="3"/>
      <c r="K22" s="289"/>
      <c r="L22" s="290"/>
      <c r="M22" s="289"/>
      <c r="N22" s="290"/>
      <c r="O22" s="289"/>
      <c r="P22" s="291"/>
      <c r="Q22" s="16"/>
      <c r="R22" s="16"/>
      <c r="S22" s="7"/>
      <c r="T22" s="7"/>
      <c r="U22" s="2"/>
    </row>
    <row r="23" spans="1:30" ht="15" thickBot="1" x14ac:dyDescent="0.35">
      <c r="A23" s="62"/>
      <c r="B23" s="56"/>
      <c r="C23" s="56"/>
      <c r="D23" s="56"/>
      <c r="G23" s="78"/>
    </row>
    <row r="24" spans="1:30" ht="16.2" thickBot="1" x14ac:dyDescent="0.35">
      <c r="A24" s="405" t="s">
        <v>161</v>
      </c>
      <c r="B24" s="406"/>
      <c r="C24" s="105">
        <v>0</v>
      </c>
      <c r="D24" s="56"/>
      <c r="G24" s="78"/>
      <c r="J24" s="389" t="s">
        <v>47</v>
      </c>
      <c r="K24" s="390"/>
      <c r="L24" s="390"/>
      <c r="M24" s="391"/>
      <c r="O24" s="389" t="s">
        <v>7</v>
      </c>
      <c r="P24" s="390"/>
      <c r="Q24" s="390"/>
      <c r="R24" s="391"/>
      <c r="S24" s="124"/>
      <c r="U24" s="389" t="s">
        <v>47</v>
      </c>
      <c r="V24" s="390"/>
      <c r="W24" s="390"/>
      <c r="X24" s="391"/>
      <c r="Z24" s="389" t="s">
        <v>7</v>
      </c>
      <c r="AA24" s="390"/>
      <c r="AB24" s="390"/>
      <c r="AC24" s="391"/>
      <c r="AD24" s="124"/>
    </row>
    <row r="25" spans="1:30" ht="15.6" x14ac:dyDescent="0.3">
      <c r="A25" s="405" t="s">
        <v>162</v>
      </c>
      <c r="B25" s="406"/>
      <c r="C25" s="105">
        <v>0</v>
      </c>
      <c r="D25" s="56"/>
      <c r="G25" s="78"/>
      <c r="J25" s="15" t="s">
        <v>15</v>
      </c>
      <c r="L25" s="2">
        <f>IF(DV_REL&lt;&gt;"",MIN(C11,P11),0)</f>
        <v>0</v>
      </c>
      <c r="O25" s="15" t="s">
        <v>15</v>
      </c>
      <c r="Q25" s="2">
        <f>IF(DV_DIV&lt;&gt;"",MIN(C12,2000),0)</f>
        <v>0</v>
      </c>
      <c r="U25" s="15" t="s">
        <v>15</v>
      </c>
      <c r="W25" s="2">
        <f>DV_REL</f>
        <v>0</v>
      </c>
      <c r="Z25" s="15" t="s">
        <v>15</v>
      </c>
      <c r="AB25" s="2">
        <f>DV_DIV</f>
        <v>0</v>
      </c>
    </row>
    <row r="26" spans="1:30" ht="15.6" x14ac:dyDescent="0.3">
      <c r="A26" s="292" t="str">
        <f>IF(C7="OUI","Vous trouverez ces informations sur le compte PEE/PEG/PEI de votre ancien employeur","")</f>
        <v/>
      </c>
      <c r="B26" s="293"/>
      <c r="C26" s="294"/>
      <c r="D26" s="56"/>
      <c r="G26" s="78"/>
      <c r="J26" s="9"/>
      <c r="K26" s="10" t="s">
        <v>8</v>
      </c>
      <c r="L26" s="10" t="s">
        <v>9</v>
      </c>
      <c r="M26" s="110" t="s">
        <v>10</v>
      </c>
      <c r="O26" s="9"/>
      <c r="P26" s="10" t="s">
        <v>11</v>
      </c>
      <c r="Q26" s="111" t="s">
        <v>12</v>
      </c>
      <c r="R26" s="110" t="s">
        <v>13</v>
      </c>
      <c r="S26" s="125"/>
      <c r="U26" s="9"/>
      <c r="V26" s="10" t="s">
        <v>8</v>
      </c>
      <c r="W26" s="10" t="s">
        <v>9</v>
      </c>
      <c r="X26" s="110" t="s">
        <v>10</v>
      </c>
      <c r="Z26" s="9"/>
      <c r="AA26" s="10" t="s">
        <v>11</v>
      </c>
      <c r="AB26" s="111" t="s">
        <v>12</v>
      </c>
      <c r="AC26" s="110" t="s">
        <v>13</v>
      </c>
      <c r="AD26" s="125"/>
    </row>
    <row r="27" spans="1:30" hidden="1" x14ac:dyDescent="0.3">
      <c r="A27" s="62"/>
      <c r="B27" s="56"/>
      <c r="C27" s="56"/>
      <c r="D27" s="56"/>
      <c r="G27" s="78"/>
      <c r="J27" s="11" t="s">
        <v>2</v>
      </c>
      <c r="K27" s="12">
        <f>MIN($L$11,$L$25)</f>
        <v>0</v>
      </c>
      <c r="L27" s="12">
        <f>K27*$K$11*$Q$3</f>
        <v>0</v>
      </c>
      <c r="M27" s="13">
        <f>K27*$K$11</f>
        <v>0</v>
      </c>
      <c r="O27" s="11" t="s">
        <v>2</v>
      </c>
      <c r="P27" s="12">
        <f>IF($Q$25&lt;$L$11,$Q$25,$L$11)</f>
        <v>0</v>
      </c>
      <c r="Q27" s="12">
        <f>P27*$K$12*$Q$3</f>
        <v>0</v>
      </c>
      <c r="R27" s="13">
        <f>P27*$K$12</f>
        <v>0</v>
      </c>
      <c r="S27" s="12"/>
      <c r="U27" s="11" t="s">
        <v>2</v>
      </c>
      <c r="V27" s="12">
        <f>MIN($L$11,$W$25)</f>
        <v>0</v>
      </c>
      <c r="W27" s="12">
        <f>V27*$K$11*$Q$3</f>
        <v>0</v>
      </c>
      <c r="X27" s="13">
        <f>V27*$K$11</f>
        <v>0</v>
      </c>
      <c r="Z27" s="11" t="s">
        <v>2</v>
      </c>
      <c r="AA27" s="12">
        <f>IF($AB$25&lt;$L$11,$AB$25,$L$11)</f>
        <v>0</v>
      </c>
      <c r="AB27" s="12">
        <f>AA27*$K$12*$Q$3</f>
        <v>0</v>
      </c>
      <c r="AC27" s="13">
        <f>AA27*$K$12</f>
        <v>0</v>
      </c>
      <c r="AD27" s="12"/>
    </row>
    <row r="28" spans="1:30" ht="18" hidden="1" x14ac:dyDescent="0.35">
      <c r="A28" s="412" t="s">
        <v>86</v>
      </c>
      <c r="B28" s="411"/>
      <c r="C28" s="85">
        <f>C24/$Q$3</f>
        <v>0</v>
      </c>
      <c r="D28" s="56"/>
      <c r="E28" s="407" t="str">
        <f>IF(AND(ISERROR(SEARCH(".",DP_MUT_REL)),ISERROR(SEARCH(".",DP_MUT_DIV))),IF(OR(NOT(ISNUMBER(DP_MUT_REL)),NOT(ISNUMBER(DP_MUT_DIV))),"Les montants saisis doivent être des nombres.",""),"Le séparateur de décimales doit être une virgule.")</f>
        <v/>
      </c>
      <c r="F28" s="407"/>
      <c r="G28" s="78"/>
      <c r="J28" s="11"/>
      <c r="K28" s="12"/>
      <c r="L28" s="12"/>
      <c r="M28" s="13"/>
      <c r="O28" s="11"/>
      <c r="P28" s="12"/>
      <c r="Q28" s="12"/>
      <c r="R28" s="13"/>
      <c r="S28" s="12"/>
      <c r="U28" s="11"/>
      <c r="V28" s="12"/>
      <c r="W28" s="12"/>
      <c r="X28" s="13"/>
      <c r="Z28" s="11"/>
      <c r="AA28" s="12"/>
      <c r="AB28" s="12"/>
      <c r="AC28" s="13"/>
      <c r="AD28" s="12"/>
    </row>
    <row r="29" spans="1:30" ht="18" hidden="1" x14ac:dyDescent="0.35">
      <c r="A29" s="412" t="s">
        <v>87</v>
      </c>
      <c r="B29" s="411"/>
      <c r="C29" s="85">
        <f>C25/$Q$3</f>
        <v>0</v>
      </c>
      <c r="D29" s="56"/>
      <c r="E29" s="407"/>
      <c r="F29" s="407"/>
      <c r="G29" s="78"/>
      <c r="J29" s="11"/>
      <c r="K29" s="12"/>
      <c r="L29" s="12"/>
      <c r="M29" s="13"/>
      <c r="O29" s="11"/>
      <c r="P29" s="12"/>
      <c r="Q29" s="12"/>
      <c r="R29" s="13"/>
      <c r="S29" s="12"/>
      <c r="U29" s="11"/>
      <c r="V29" s="12"/>
      <c r="W29" s="12"/>
      <c r="X29" s="13"/>
      <c r="Z29" s="11"/>
      <c r="AA29" s="12"/>
      <c r="AB29" s="12"/>
      <c r="AC29" s="13"/>
      <c r="AD29" s="12"/>
    </row>
    <row r="30" spans="1:30" ht="18" hidden="1" x14ac:dyDescent="0.35">
      <c r="A30" s="288" t="s">
        <v>146</v>
      </c>
      <c r="B30" s="299"/>
      <c r="C30" s="118"/>
      <c r="D30" s="56"/>
      <c r="E30" s="121"/>
      <c r="F30" s="121"/>
      <c r="G30" s="78"/>
      <c r="J30" s="11"/>
      <c r="K30" s="12"/>
      <c r="L30" s="12"/>
      <c r="M30" s="13"/>
      <c r="O30" s="11"/>
      <c r="P30" s="12"/>
      <c r="Q30" s="12"/>
      <c r="R30" s="13"/>
      <c r="S30" s="12"/>
      <c r="U30" s="11"/>
      <c r="V30" s="12"/>
      <c r="W30" s="12"/>
      <c r="X30" s="13"/>
      <c r="Z30" s="11"/>
      <c r="AA30" s="12"/>
      <c r="AB30" s="12"/>
      <c r="AC30" s="13"/>
      <c r="AD30" s="12"/>
    </row>
    <row r="31" spans="1:30" x14ac:dyDescent="0.3">
      <c r="A31" s="81"/>
      <c r="B31" s="81"/>
      <c r="C31" s="82"/>
      <c r="D31" s="82"/>
      <c r="E31" s="79"/>
      <c r="F31" s="79"/>
      <c r="G31" s="80"/>
      <c r="J31" s="11"/>
      <c r="K31" s="12"/>
      <c r="L31" s="12"/>
      <c r="M31" s="13"/>
      <c r="O31" s="11"/>
      <c r="P31" s="12"/>
      <c r="Q31" s="12"/>
      <c r="R31" s="13"/>
      <c r="S31" s="12"/>
      <c r="U31" s="11"/>
      <c r="V31" s="12"/>
      <c r="W31" s="12"/>
      <c r="X31" s="13"/>
      <c r="Z31" s="11"/>
      <c r="AA31" s="12"/>
      <c r="AB31" s="12"/>
      <c r="AC31" s="13"/>
      <c r="AD31" s="12"/>
    </row>
    <row r="32" spans="1:30" ht="15" customHeight="1" x14ac:dyDescent="0.3">
      <c r="A32" s="61"/>
      <c r="B32" s="61"/>
      <c r="C32" s="57"/>
      <c r="D32" s="57"/>
      <c r="J32" s="11"/>
      <c r="K32" s="12"/>
      <c r="L32" s="12"/>
      <c r="M32" s="13"/>
      <c r="O32" s="11"/>
      <c r="P32" s="12"/>
      <c r="Q32" s="12"/>
      <c r="R32" s="13"/>
      <c r="S32" s="12"/>
      <c r="U32" s="11"/>
      <c r="V32" s="12"/>
      <c r="W32" s="12"/>
      <c r="X32" s="13"/>
      <c r="Z32" s="11"/>
      <c r="AA32" s="12"/>
      <c r="AB32" s="12"/>
      <c r="AC32" s="13"/>
      <c r="AD32" s="12"/>
    </row>
    <row r="33" spans="1:30" x14ac:dyDescent="0.3">
      <c r="A33" s="89"/>
      <c r="B33" s="89"/>
      <c r="C33" s="90"/>
      <c r="D33" s="90"/>
      <c r="E33" s="76"/>
      <c r="F33" s="76"/>
      <c r="G33" s="77"/>
      <c r="J33" s="11" t="s">
        <v>3</v>
      </c>
      <c r="K33" s="12">
        <f>IF($L$25-K27&lt;$N$11-$L$11,$L$25-K27,$N$11-$L$11)</f>
        <v>0</v>
      </c>
      <c r="L33" s="12">
        <f>K33*$M$11*$Q$3</f>
        <v>0</v>
      </c>
      <c r="M33" s="13">
        <f>K33*$M$11</f>
        <v>0</v>
      </c>
      <c r="O33" s="11" t="s">
        <v>3</v>
      </c>
      <c r="P33" s="12">
        <f>IF($Q$25-P27&gt;$N$11-$L$11,$N$11-$L$11,$Q$25-P27)</f>
        <v>0</v>
      </c>
      <c r="Q33" s="12">
        <f>P33*$M$12*$Q$3</f>
        <v>0</v>
      </c>
      <c r="R33" s="13">
        <f>P33*$M$12</f>
        <v>0</v>
      </c>
      <c r="S33" s="12"/>
      <c r="U33" s="11" t="s">
        <v>3</v>
      </c>
      <c r="V33" s="12">
        <f>IF($W$25-V27&lt;$N$11-$L$11,$W$25-V27,$N$11-$L$11)</f>
        <v>0</v>
      </c>
      <c r="W33" s="12">
        <f>V33*$M$11*$Q$3</f>
        <v>0</v>
      </c>
      <c r="X33" s="13">
        <f>V33*$M$11</f>
        <v>0</v>
      </c>
      <c r="Z33" s="11" t="s">
        <v>3</v>
      </c>
      <c r="AA33" s="12">
        <f>IF($AB$25-AA27&gt;$N$11-$L$11,$N$11-$L$11,$AB$25-AA27)</f>
        <v>0</v>
      </c>
      <c r="AB33" s="12">
        <f>AA33*$M$12*$Q$3</f>
        <v>0</v>
      </c>
      <c r="AC33" s="13">
        <f>AA33*$M$12</f>
        <v>0</v>
      </c>
      <c r="AD33" s="12"/>
    </row>
    <row r="34" spans="1:30" ht="15.6" x14ac:dyDescent="0.3">
      <c r="A34" s="134" t="s">
        <v>165</v>
      </c>
      <c r="B34" s="63"/>
      <c r="C34" s="57"/>
      <c r="D34" s="57"/>
      <c r="G34" s="78"/>
      <c r="J34" s="11" t="s">
        <v>5</v>
      </c>
      <c r="K34" s="12">
        <f>IF($L$25-K33-K27&lt;$P$11-$N$11,$L$25-K33-K27,$P$11-$N$11)</f>
        <v>0</v>
      </c>
      <c r="L34" s="12">
        <f>K34*$O$11*$Q$3</f>
        <v>0</v>
      </c>
      <c r="M34" s="13">
        <f>K34*$O$11</f>
        <v>0</v>
      </c>
      <c r="O34" s="11" t="s">
        <v>5</v>
      </c>
      <c r="P34" s="12">
        <f>IF($Q$25-P33-P27&gt;$P$11-$N$11,$P$11-$N$11,$Q$25-P33-P27)</f>
        <v>0</v>
      </c>
      <c r="Q34" s="12">
        <f>P34*$O$12*$Q$3</f>
        <v>0</v>
      </c>
      <c r="R34" s="13">
        <f>P34*$O$12</f>
        <v>0</v>
      </c>
      <c r="S34" s="12"/>
      <c r="U34" s="11" t="s">
        <v>5</v>
      </c>
      <c r="V34" s="12">
        <f>IF($W$25-V33-V27&lt;$P$11-$N$11,$W$25-V33-V27,$P$11-$N$11)</f>
        <v>0</v>
      </c>
      <c r="W34" s="12">
        <f>V34*$O$11*$Q$3</f>
        <v>0</v>
      </c>
      <c r="X34" s="13">
        <f>V34*$O$11</f>
        <v>0</v>
      </c>
      <c r="Z34" s="11" t="s">
        <v>5</v>
      </c>
      <c r="AA34" s="12">
        <f>IF($AB$25-AA33-AA27&gt;$P$11-$N$11,$P$11-$N$11,$AB$25-AA33-AA27)</f>
        <v>0</v>
      </c>
      <c r="AB34" s="12">
        <f>AA34*$O$12*$Q$3</f>
        <v>0</v>
      </c>
      <c r="AC34" s="13">
        <f>AA34*$O$12</f>
        <v>0</v>
      </c>
      <c r="AD34" s="12"/>
    </row>
    <row r="35" spans="1:30" ht="15.6" x14ac:dyDescent="0.3">
      <c r="A35" s="411" t="s">
        <v>62</v>
      </c>
      <c r="B35" s="413"/>
      <c r="C35" s="73">
        <f>'Interface simplifiée'!D14</f>
        <v>100</v>
      </c>
      <c r="D35" s="57"/>
      <c r="E35" s="407" t="str">
        <f>IF(AND(ISERROR(SEARCH(".",RSP)),ISERROR(SEARCH(".",INT))),IF(OR(NOT(ISNUMBER(RSP)),NOT(ISNUMBER(INT))),"Les montants saisis doivent être des nombres.",""),"Le séparateur de décimales doit être une virgule.")</f>
        <v/>
      </c>
      <c r="F35" s="407"/>
      <c r="G35" s="78"/>
      <c r="J35" s="392" t="s">
        <v>14</v>
      </c>
      <c r="K35" s="394">
        <f>MAX($L$25-SUM(K27:K34),0)</f>
        <v>0</v>
      </c>
      <c r="L35" s="394">
        <v>0</v>
      </c>
      <c r="M35" s="396">
        <v>0</v>
      </c>
      <c r="O35" s="392" t="s">
        <v>14</v>
      </c>
      <c r="P35" s="394">
        <f>MAX($Q$25-SUM(P27:P34),0)</f>
        <v>0</v>
      </c>
      <c r="Q35" s="394">
        <v>0</v>
      </c>
      <c r="R35" s="396">
        <v>0</v>
      </c>
      <c r="S35" s="119"/>
      <c r="U35" s="392" t="s">
        <v>14</v>
      </c>
      <c r="V35" s="394">
        <f>MAX($L$25-SUM(V27:V34),0)</f>
        <v>0</v>
      </c>
      <c r="W35" s="394">
        <v>0</v>
      </c>
      <c r="X35" s="396">
        <v>0</v>
      </c>
      <c r="Z35" s="392" t="s">
        <v>14</v>
      </c>
      <c r="AA35" s="394">
        <f>MAX($Q$25-SUM(AA27:AA34),0)</f>
        <v>0</v>
      </c>
      <c r="AB35" s="394">
        <v>0</v>
      </c>
      <c r="AC35" s="396">
        <v>0</v>
      </c>
      <c r="AD35" s="119"/>
    </row>
    <row r="36" spans="1:30" ht="15.6" x14ac:dyDescent="0.3">
      <c r="A36" s="411" t="s">
        <v>179</v>
      </c>
      <c r="B36" s="413"/>
      <c r="C36" s="73">
        <f>'Interface simplifiée'!D12+'Interface simplifiée'!D13</f>
        <v>1000</v>
      </c>
      <c r="D36" s="57"/>
      <c r="E36" s="407"/>
      <c r="F36" s="407"/>
      <c r="G36" s="78"/>
      <c r="J36" s="393"/>
      <c r="K36" s="395"/>
      <c r="L36" s="395"/>
      <c r="M36" s="397"/>
      <c r="O36" s="393"/>
      <c r="P36" s="395"/>
      <c r="Q36" s="395"/>
      <c r="R36" s="397"/>
      <c r="S36" s="119"/>
      <c r="U36" s="393"/>
      <c r="V36" s="395"/>
      <c r="W36" s="395"/>
      <c r="X36" s="397"/>
      <c r="Z36" s="393"/>
      <c r="AA36" s="395"/>
      <c r="AB36" s="395"/>
      <c r="AC36" s="397"/>
      <c r="AD36" s="119"/>
    </row>
    <row r="37" spans="1:30" x14ac:dyDescent="0.3">
      <c r="A37" s="64"/>
      <c r="B37" s="64"/>
      <c r="C37" s="56"/>
      <c r="D37" s="57"/>
      <c r="G37" s="78"/>
    </row>
    <row r="38" spans="1:30" ht="16.2" thickBot="1" x14ac:dyDescent="0.35">
      <c r="A38" s="134" t="s">
        <v>60</v>
      </c>
      <c r="C38" s="56"/>
      <c r="D38" s="57"/>
      <c r="G38" s="78"/>
      <c r="J38" s="46" t="s">
        <v>37</v>
      </c>
      <c r="K38" s="46"/>
      <c r="L38" s="47"/>
      <c r="M38" s="47"/>
      <c r="N38" s="47"/>
      <c r="O38" s="47"/>
      <c r="P38" s="47"/>
      <c r="Q38" s="47"/>
      <c r="R38" s="47"/>
      <c r="S38" s="47"/>
      <c r="U38" s="46" t="s">
        <v>68</v>
      </c>
    </row>
    <row r="39" spans="1:30" ht="18.600000000000001" thickBot="1" x14ac:dyDescent="0.4">
      <c r="A39" s="65"/>
      <c r="B39" s="141" t="s">
        <v>88</v>
      </c>
      <c r="C39" s="84">
        <v>1</v>
      </c>
      <c r="D39" s="85">
        <f>AK_PART*RSP</f>
        <v>100</v>
      </c>
      <c r="E39" s="414" t="str">
        <f>IF(AND(ISERROR(SEARCH(".",DIV_PART)),ISERROR(SEARCH(".",AK_PART)),ISERROR(SEARCH(".",CPT_PART))),IF(OR(NOT(ISNUMBER(DIV_PART)),NOT(ISNUMBER(AK_PART)),NOT(ISNUMBER(CPT_PART))),"Les montants saisis doivent être des nombres.",IF(AK_PART+DIV_PART+CPT_PART&lt;&gt;100%,"La somme des % doit être égale à 100%.","")),"Le séparateur de décimales doit être une virgule.")</f>
        <v/>
      </c>
      <c r="F39" s="133"/>
      <c r="G39" s="78"/>
      <c r="J39" s="389" t="s">
        <v>47</v>
      </c>
      <c r="K39" s="390"/>
      <c r="L39" s="390"/>
      <c r="M39" s="391"/>
      <c r="O39" s="389" t="s">
        <v>7</v>
      </c>
      <c r="P39" s="390"/>
      <c r="Q39" s="390"/>
      <c r="R39" s="391"/>
      <c r="S39" s="124"/>
      <c r="U39" s="389" t="s">
        <v>47</v>
      </c>
      <c r="V39" s="390"/>
      <c r="W39" s="390"/>
      <c r="X39" s="391"/>
    </row>
    <row r="40" spans="1:30" ht="18" x14ac:dyDescent="0.35">
      <c r="A40" s="65"/>
      <c r="B40" s="141" t="s">
        <v>81</v>
      </c>
      <c r="C40" s="84">
        <v>0</v>
      </c>
      <c r="D40" s="85">
        <f>DIV_PART*RSP</f>
        <v>0</v>
      </c>
      <c r="E40" s="414"/>
      <c r="F40" s="133"/>
      <c r="G40" s="78"/>
      <c r="J40" s="15" t="s">
        <v>15</v>
      </c>
      <c r="L40" s="2">
        <f>C35*C39+C36*C43+C47</f>
        <v>100</v>
      </c>
      <c r="O40" s="15" t="s">
        <v>15</v>
      </c>
      <c r="Q40" s="2">
        <f>C35*C40+C36*C44</f>
        <v>1000</v>
      </c>
      <c r="U40" s="15" t="s">
        <v>69</v>
      </c>
      <c r="V40" s="22">
        <f>C60</f>
        <v>200</v>
      </c>
      <c r="W40" s="2" t="s">
        <v>70</v>
      </c>
      <c r="X40" s="123">
        <f>L76</f>
        <v>1220</v>
      </c>
    </row>
    <row r="41" spans="1:30" ht="18" x14ac:dyDescent="0.35">
      <c r="A41" s="65"/>
      <c r="B41" s="141" t="s">
        <v>82</v>
      </c>
      <c r="C41" s="84">
        <v>0</v>
      </c>
      <c r="D41" s="85">
        <f>CPT_PART*RSP</f>
        <v>0</v>
      </c>
      <c r="E41" s="414"/>
      <c r="F41" s="133"/>
      <c r="G41" s="78"/>
      <c r="J41" s="23"/>
      <c r="K41" s="24" t="s">
        <v>8</v>
      </c>
      <c r="L41" s="24" t="s">
        <v>9</v>
      </c>
      <c r="M41" s="112" t="s">
        <v>10</v>
      </c>
      <c r="O41" s="23"/>
      <c r="P41" s="24" t="s">
        <v>11</v>
      </c>
      <c r="Q41" s="113" t="s">
        <v>12</v>
      </c>
      <c r="R41" s="112" t="s">
        <v>13</v>
      </c>
      <c r="S41" s="125"/>
      <c r="U41" s="9"/>
      <c r="V41" s="10" t="s">
        <v>71</v>
      </c>
      <c r="W41" s="10" t="s">
        <v>72</v>
      </c>
      <c r="X41" s="10" t="s">
        <v>73</v>
      </c>
      <c r="Y41" s="110" t="s">
        <v>74</v>
      </c>
    </row>
    <row r="42" spans="1:30" x14ac:dyDescent="0.3">
      <c r="A42" s="66"/>
      <c r="B42" s="142"/>
      <c r="C42" s="68"/>
      <c r="D42" s="57"/>
      <c r="E42" s="414"/>
      <c r="G42" s="78"/>
      <c r="J42" s="25" t="s">
        <v>2</v>
      </c>
      <c r="K42" s="26">
        <f>IF(K27=0,MIN($L$11,$L$40),IF($L$40&lt;$L$11-K27,$L$40,$L$11-K27))</f>
        <v>100</v>
      </c>
      <c r="L42" s="26">
        <f>K42*$K$11*$Q$3</f>
        <v>180.6</v>
      </c>
      <c r="M42" s="27">
        <f>K42*$K$11</f>
        <v>200</v>
      </c>
      <c r="O42" s="25" t="s">
        <v>2</v>
      </c>
      <c r="P42" s="26">
        <f>IF(P27=0,IF($Q$40&lt;$L$12,$Q$40,$L$12),IF($Q$40&lt;$L$12-P27,$Q$40,$L$12-P27))</f>
        <v>200</v>
      </c>
      <c r="Q42" s="26">
        <f>P42*$K$12*$Q$3</f>
        <v>270.90000000000003</v>
      </c>
      <c r="R42" s="27">
        <f>P42*$K$12</f>
        <v>300</v>
      </c>
      <c r="S42" s="12"/>
      <c r="U42" s="11" t="s">
        <v>2</v>
      </c>
      <c r="V42" s="12">
        <f>'POLITIQUE D''ABONDEMENT SGPM'!F5</f>
        <v>400</v>
      </c>
      <c r="W42" s="12">
        <f>MAX(V42-V40,0)</f>
        <v>200</v>
      </c>
      <c r="X42" s="12">
        <f>MIN(W42,X40)</f>
        <v>200</v>
      </c>
      <c r="Y42" s="13">
        <f>X42/'POLITIQUE D''ABONDEMENT SGPM'!D5</f>
        <v>100</v>
      </c>
    </row>
    <row r="43" spans="1:30" ht="18" x14ac:dyDescent="0.35">
      <c r="A43" s="65"/>
      <c r="B43" s="141" t="s">
        <v>181</v>
      </c>
      <c r="C43" s="84">
        <f>'Interface simplifiée'!G12</f>
        <v>0</v>
      </c>
      <c r="D43" s="85">
        <f>AK_INT*INT</f>
        <v>0</v>
      </c>
      <c r="E43" s="414" t="str">
        <f>IF(AND(ISERROR(SEARCH(".",DIV_INT)),ISERROR(SEARCH(".",AK_INT)),ISERROR(SEARCH(".",CPT_INT))),IF(OR(NOT(ISNUMBER(DIV_INT)),NOT(ISNUMBER(AK_INT)),NOT(ISNUMBER(CPT_INT))),"Les montants saisis doivent être des nombres.",IF(AK_INT+DIV_INT+CPT_INT&lt;&gt;100%,"La somme des % doit être égale à 100%.","")),"Le séparateur de décimales doit être une virgule.")</f>
        <v/>
      </c>
      <c r="F43" s="133"/>
      <c r="G43" s="78"/>
      <c r="J43" s="30" t="s">
        <v>3</v>
      </c>
      <c r="K43" s="31">
        <f>IF(K33=0,IF($L$40-K42&lt;$N$11-$L$11,$L$40-K42,$N$11-$L$11),IF($L$40-K42&lt;$N$11-$L$11-K33,$L$40-K42,$N$11-$L$11-K33))</f>
        <v>0</v>
      </c>
      <c r="L43" s="31">
        <f>K43*$M$11*$Q$3</f>
        <v>0</v>
      </c>
      <c r="M43" s="32">
        <f>K43*$M$11</f>
        <v>0</v>
      </c>
      <c r="O43" s="30" t="s">
        <v>3</v>
      </c>
      <c r="P43" s="31">
        <f>IF(P33=0,IF($Q$40-P42&lt;$N$12-$L$12,$Q$40-P42,$N$12-$L$12),IF($Q$40-P42&lt;$N$12-$L$12-P33,$Q$40-P42,$N$12-$L$12-P33))</f>
        <v>800</v>
      </c>
      <c r="Q43" s="31">
        <f>P43*$M$12*$Q$3</f>
        <v>433.44</v>
      </c>
      <c r="R43" s="32">
        <f>P43*$M$12</f>
        <v>480</v>
      </c>
      <c r="S43" s="12"/>
      <c r="U43" s="11" t="s">
        <v>3</v>
      </c>
      <c r="V43" s="12">
        <f>'POLITIQUE D''ABONDEMENT SGPM'!F6</f>
        <v>480</v>
      </c>
      <c r="W43" s="12">
        <f>MIN(MAX(V43-(V40-V42),0),V43)</f>
        <v>480</v>
      </c>
      <c r="X43" s="12">
        <f>MIN(W43,X40-X42)</f>
        <v>480</v>
      </c>
      <c r="Y43" s="13">
        <f>X43/'POLITIQUE D''ABONDEMENT SGPM'!D6</f>
        <v>800</v>
      </c>
    </row>
    <row r="44" spans="1:30" ht="18" x14ac:dyDescent="0.35">
      <c r="A44" s="65"/>
      <c r="B44" s="141" t="s">
        <v>182</v>
      </c>
      <c r="C44" s="84">
        <f>1-AK_INT</f>
        <v>1</v>
      </c>
      <c r="D44" s="85">
        <f>DIV_INT*INT</f>
        <v>1000</v>
      </c>
      <c r="E44" s="414"/>
      <c r="F44" s="133"/>
      <c r="G44" s="78"/>
      <c r="J44" s="33" t="s">
        <v>5</v>
      </c>
      <c r="K44" s="34">
        <f>IF(K34=0,MIN($P$11-$N$11,MAX(0,$L$40-K43-K42)),IF($L$40-K42-K43&lt;$P$11-$N$11-K34,$L$40-K43-K42,$P$11-$N$11-K34))</f>
        <v>0</v>
      </c>
      <c r="L44" s="34">
        <f>K44*$O$11*$Q$3</f>
        <v>0</v>
      </c>
      <c r="M44" s="35">
        <f>K44*$O$11</f>
        <v>0</v>
      </c>
      <c r="O44" s="33" t="s">
        <v>5</v>
      </c>
      <c r="P44" s="34">
        <f>IF(P34=0,IF(Q40-P43-P42&lt;P12-N12,Q40-P43-P42,P12-N12),IF(Q40-P43-P42&lt;P11-N11-P34,Q40-P43-P42,P11-N11-P34))</f>
        <v>0</v>
      </c>
      <c r="Q44" s="34">
        <f>P44*$O$12*$Q$3</f>
        <v>0</v>
      </c>
      <c r="R44" s="35">
        <f>P44*$O$12</f>
        <v>0</v>
      </c>
      <c r="S44" s="12"/>
      <c r="U44" s="11" t="s">
        <v>5</v>
      </c>
      <c r="V44" s="12">
        <f>'POLITIQUE D''ABONDEMENT SGPM'!F7</f>
        <v>1320.0029999999999</v>
      </c>
      <c r="W44" s="12">
        <f>MIN(MAX(V44-(V40-V42-V43),0),V44)</f>
        <v>1320.0029999999999</v>
      </c>
      <c r="X44" s="12">
        <f>MIN(W44,X40-X42-X43)</f>
        <v>540</v>
      </c>
      <c r="Y44" s="13">
        <f>X44/'POLITIQUE D''ABONDEMENT SGPM'!D7</f>
        <v>1200</v>
      </c>
    </row>
    <row r="45" spans="1:30" ht="15.6" x14ac:dyDescent="0.3">
      <c r="A45" s="65"/>
      <c r="B45" s="141" t="s">
        <v>83</v>
      </c>
      <c r="C45" s="84">
        <v>0</v>
      </c>
      <c r="D45" s="85">
        <f>CPT_PART*INT</f>
        <v>0</v>
      </c>
      <c r="E45" s="414"/>
      <c r="G45" s="78"/>
      <c r="J45" s="25"/>
      <c r="K45" s="26"/>
      <c r="L45" s="26"/>
      <c r="M45" s="27"/>
      <c r="O45" s="25"/>
      <c r="P45" s="26"/>
      <c r="Q45" s="26"/>
      <c r="R45" s="27"/>
      <c r="S45" s="12"/>
      <c r="U45" s="11"/>
      <c r="V45" s="12"/>
      <c r="W45" s="12"/>
      <c r="X45" s="12"/>
      <c r="Y45" s="13"/>
    </row>
    <row r="46" spans="1:30" ht="18" x14ac:dyDescent="0.3">
      <c r="A46" s="65"/>
      <c r="B46" s="65"/>
      <c r="C46" s="65"/>
      <c r="D46" s="65"/>
      <c r="E46" s="140"/>
      <c r="G46" s="78"/>
      <c r="J46" s="114" t="s">
        <v>14</v>
      </c>
      <c r="K46" s="28">
        <f>MAX($L$40-SUM(K42:K44),0)</f>
        <v>0</v>
      </c>
      <c r="L46" s="28">
        <v>0</v>
      </c>
      <c r="M46" s="29">
        <v>0</v>
      </c>
      <c r="O46" s="114" t="s">
        <v>14</v>
      </c>
      <c r="P46" s="28">
        <f>MAX($Q$40-SUM(P42:P44),0)</f>
        <v>0</v>
      </c>
      <c r="Q46" s="28">
        <v>0</v>
      </c>
      <c r="R46" s="29">
        <v>0</v>
      </c>
      <c r="S46" s="12"/>
      <c r="U46" s="392" t="s">
        <v>14</v>
      </c>
      <c r="V46" s="394"/>
      <c r="W46" s="394"/>
      <c r="X46" s="394"/>
      <c r="Y46" s="129"/>
    </row>
    <row r="47" spans="1:30" ht="15.6" hidden="1" x14ac:dyDescent="0.3">
      <c r="A47" s="65"/>
      <c r="B47" s="116" t="s">
        <v>89</v>
      </c>
      <c r="C47" s="73">
        <v>0</v>
      </c>
      <c r="D47" s="118"/>
      <c r="E47" s="407" t="str">
        <f>IF(ISERROR(SEARCH(".",AK_VV)),IF(NOT(ISNUMBER(AK_VV)),"Les montants saisis doivent être des nombres.",""),"Le séparateur de décimales doit être une virgule.")</f>
        <v/>
      </c>
      <c r="F47" s="407"/>
      <c r="G47" s="78"/>
      <c r="K47" s="14">
        <f>SUM(K42:K46)</f>
        <v>100</v>
      </c>
      <c r="L47" s="14">
        <f>SUM(L42:L46)</f>
        <v>180.6</v>
      </c>
      <c r="M47" s="14">
        <f>SUM(M42:M46)</f>
        <v>200</v>
      </c>
      <c r="P47" s="14">
        <f>SUM(P42:P46)</f>
        <v>1000</v>
      </c>
      <c r="Q47" s="14">
        <f>SUM(Q42:Q46)</f>
        <v>704.34</v>
      </c>
      <c r="R47" s="14">
        <f>SUM(R42:R46)</f>
        <v>780</v>
      </c>
      <c r="S47" s="14"/>
      <c r="U47" s="393"/>
      <c r="V47" s="395"/>
      <c r="W47" s="395"/>
      <c r="X47" s="395"/>
      <c r="Y47" s="130"/>
    </row>
    <row r="48" spans="1:30" ht="15.6" hidden="1" x14ac:dyDescent="0.3">
      <c r="A48" s="65"/>
      <c r="B48" s="117"/>
      <c r="C48" s="68"/>
      <c r="D48" s="118"/>
      <c r="E48" s="407"/>
      <c r="F48" s="407"/>
      <c r="G48" s="78"/>
    </row>
    <row r="49" spans="1:26" ht="28.8" hidden="1" x14ac:dyDescent="0.35">
      <c r="A49" s="65"/>
      <c r="B49" s="136" t="s">
        <v>79</v>
      </c>
      <c r="C49" s="135">
        <f>SUM(Y42:Y44)</f>
        <v>2100</v>
      </c>
      <c r="D49" s="118"/>
      <c r="E49" s="122"/>
      <c r="F49" s="121"/>
      <c r="G49" s="78"/>
    </row>
    <row r="50" spans="1:26" x14ac:dyDescent="0.3">
      <c r="A50" s="65"/>
      <c r="B50" s="58"/>
      <c r="C50" s="58"/>
      <c r="D50" s="58"/>
      <c r="G50" s="78"/>
    </row>
    <row r="51" spans="1:26" ht="15.6" x14ac:dyDescent="0.3">
      <c r="A51" s="134" t="s">
        <v>167</v>
      </c>
      <c r="C51" s="86" t="s">
        <v>44</v>
      </c>
      <c r="D51" s="86" t="s">
        <v>45</v>
      </c>
      <c r="F51" s="120"/>
      <c r="G51" s="78"/>
    </row>
    <row r="52" spans="1:26" ht="15.6" x14ac:dyDescent="0.3">
      <c r="A52" s="138" t="s">
        <v>168</v>
      </c>
      <c r="B52" s="138"/>
      <c r="C52" s="87">
        <f>P68</f>
        <v>200</v>
      </c>
      <c r="D52" s="87">
        <f>T68</f>
        <v>180.6</v>
      </c>
      <c r="F52" s="120"/>
      <c r="G52" s="78"/>
    </row>
    <row r="53" spans="1:26" ht="15.6" x14ac:dyDescent="0.3">
      <c r="A53" s="138" t="s">
        <v>169</v>
      </c>
      <c r="B53" s="138"/>
      <c r="C53" s="88">
        <f>P69</f>
        <v>780</v>
      </c>
      <c r="D53" s="88">
        <f>T69</f>
        <v>704.34</v>
      </c>
      <c r="F53" s="120"/>
      <c r="G53" s="78"/>
    </row>
    <row r="54" spans="1:26" ht="15" thickBot="1" x14ac:dyDescent="0.35">
      <c r="A54" s="67"/>
      <c r="B54" s="67"/>
      <c r="F54" s="120"/>
      <c r="G54" s="78"/>
      <c r="J54" s="46" t="s">
        <v>36</v>
      </c>
      <c r="K54" s="46"/>
      <c r="L54" s="47"/>
      <c r="M54" s="47"/>
      <c r="N54" s="47"/>
      <c r="O54" s="47"/>
      <c r="P54" s="47"/>
      <c r="Q54" s="47"/>
      <c r="R54" s="47"/>
      <c r="S54" s="47"/>
    </row>
    <row r="55" spans="1:26" ht="16.2" thickBot="1" x14ac:dyDescent="0.35">
      <c r="A55" s="139" t="s">
        <v>170</v>
      </c>
      <c r="B55" s="139"/>
      <c r="C55" s="88">
        <f>C52+C53</f>
        <v>980</v>
      </c>
      <c r="D55" s="88">
        <f>ROUND(D52,2)+ROUND(D53,2)</f>
        <v>884.94</v>
      </c>
      <c r="F55" s="120"/>
      <c r="G55" s="78"/>
      <c r="J55" s="389" t="s">
        <v>47</v>
      </c>
      <c r="K55" s="390"/>
      <c r="L55" s="390"/>
      <c r="M55" s="391"/>
      <c r="O55" s="389" t="s">
        <v>7</v>
      </c>
      <c r="P55" s="390"/>
      <c r="Q55" s="390"/>
      <c r="R55" s="391"/>
      <c r="S55" s="124"/>
    </row>
    <row r="56" spans="1:26" x14ac:dyDescent="0.3">
      <c r="A56" s="91"/>
      <c r="B56" s="91"/>
      <c r="C56" s="79"/>
      <c r="D56" s="79"/>
      <c r="E56" s="79"/>
      <c r="F56" s="79"/>
      <c r="G56" s="80"/>
      <c r="J56" s="15" t="s">
        <v>15</v>
      </c>
      <c r="L56" s="2">
        <f>C35*C39+C36*C43</f>
        <v>100</v>
      </c>
      <c r="O56" s="15" t="s">
        <v>15</v>
      </c>
      <c r="Q56" s="2">
        <f>C35*C40+C36*C44</f>
        <v>1000</v>
      </c>
    </row>
    <row r="57" spans="1:26" x14ac:dyDescent="0.3">
      <c r="A57" s="67"/>
      <c r="B57" s="67"/>
      <c r="E57" s="67"/>
      <c r="F57" s="67"/>
      <c r="G57" s="67"/>
      <c r="J57" s="23"/>
      <c r="K57" s="24" t="s">
        <v>8</v>
      </c>
      <c r="L57" s="24" t="s">
        <v>9</v>
      </c>
      <c r="M57" s="112" t="s">
        <v>10</v>
      </c>
      <c r="O57" s="23"/>
      <c r="P57" s="24" t="s">
        <v>11</v>
      </c>
      <c r="Q57" s="113" t="s">
        <v>12</v>
      </c>
      <c r="R57" s="112" t="s">
        <v>13</v>
      </c>
      <c r="S57" s="125"/>
    </row>
    <row r="58" spans="1:26" x14ac:dyDescent="0.3">
      <c r="A58" s="92"/>
      <c r="B58" s="92"/>
      <c r="C58" s="93"/>
      <c r="D58" s="93"/>
      <c r="E58" s="92"/>
      <c r="F58" s="92"/>
      <c r="G58" s="77"/>
      <c r="J58" s="25" t="s">
        <v>2</v>
      </c>
      <c r="K58" s="26">
        <f>IF(K27=0,MIN($L$11,$L$56),IF($L$56&lt;$L$11-K27,$L$56,$L$11-K27))</f>
        <v>100</v>
      </c>
      <c r="L58" s="26">
        <f>K58*$K$11*$Q$3</f>
        <v>180.6</v>
      </c>
      <c r="M58" s="27">
        <f>K58*$K$11</f>
        <v>200</v>
      </c>
      <c r="O58" s="25" t="s">
        <v>2</v>
      </c>
      <c r="P58" s="26">
        <f>IF(P27=0,IF($Q$56&lt;$L$12,$Q$56,$L$12),IF($Q$56&lt;$L$12-P27,$Q$56,$L$12-P27))</f>
        <v>200</v>
      </c>
      <c r="Q58" s="26">
        <f>P58*$K$12*$Q$3</f>
        <v>270.90000000000003</v>
      </c>
      <c r="R58" s="27">
        <f>P58*$K$12</f>
        <v>300</v>
      </c>
      <c r="S58" s="12"/>
    </row>
    <row r="59" spans="1:26" ht="28.8" x14ac:dyDescent="0.3">
      <c r="A59" s="137" t="s">
        <v>171</v>
      </c>
      <c r="B59" s="109"/>
      <c r="C59" s="86" t="s">
        <v>44</v>
      </c>
      <c r="D59" s="86" t="s">
        <v>45</v>
      </c>
      <c r="F59" s="120"/>
      <c r="G59" s="94"/>
      <c r="J59" s="30" t="s">
        <v>3</v>
      </c>
      <c r="K59" s="31">
        <f>IF(K33=0,IF($L$56-K58&lt;$N$11-$L$11,$L$56-K58,$N$11-$L$11),IF($L$56-K58&lt;$N$11-$L$11-K33,$L$56-K58,$N$11-$L$11-K33))</f>
        <v>0</v>
      </c>
      <c r="L59" s="31">
        <f>K59*$M$11*$Q$3</f>
        <v>0</v>
      </c>
      <c r="M59" s="32">
        <f>K59*$M$11</f>
        <v>0</v>
      </c>
      <c r="O59" s="30" t="s">
        <v>3</v>
      </c>
      <c r="P59" s="31">
        <f>IF(P33=0,IF($Q$56-P58&lt;$N$12-$L$12,$Q$56-P58,$N$12-$L$12),IF($Q$56-P58&lt;$N$12-$L$12-P33,$Q$56-P58,$N$12-$L$12-P33))</f>
        <v>800</v>
      </c>
      <c r="Q59" s="31">
        <f>P59*$M$12*$Q$3</f>
        <v>433.44</v>
      </c>
      <c r="R59" s="32">
        <f>P59*$M$12</f>
        <v>480</v>
      </c>
      <c r="S59" s="12"/>
      <c r="U59" s="48"/>
      <c r="V59" s="69" t="s">
        <v>40</v>
      </c>
      <c r="W59" s="69" t="s">
        <v>41</v>
      </c>
      <c r="X59" s="69" t="s">
        <v>42</v>
      </c>
      <c r="Y59" s="69" t="s">
        <v>38</v>
      </c>
      <c r="Z59" s="70" t="s">
        <v>39</v>
      </c>
    </row>
    <row r="60" spans="1:26" ht="15.6" x14ac:dyDescent="0.3">
      <c r="A60" s="138" t="s">
        <v>172</v>
      </c>
      <c r="B60" s="138"/>
      <c r="C60" s="87">
        <f>C52+DP_REL</f>
        <v>200</v>
      </c>
      <c r="D60" s="87">
        <f>C60*$Q$3</f>
        <v>180.6</v>
      </c>
      <c r="F60" s="120"/>
      <c r="G60" s="94"/>
      <c r="J60" s="33" t="s">
        <v>5</v>
      </c>
      <c r="K60" s="34">
        <f>IF(K34=0,MIN($P$11-$N$11,MAX(0,$L$56-K59-K58)),IF($L$56-K58-K59&lt;$P$11-$N$11-K34,$L$56-K59-K58,$P$11-$N$11-K34))</f>
        <v>0</v>
      </c>
      <c r="L60" s="34">
        <f>K60*$O$11*$Q$3</f>
        <v>0</v>
      </c>
      <c r="M60" s="35">
        <f>K60*$O$11</f>
        <v>0</v>
      </c>
      <c r="O60" s="33" t="s">
        <v>5</v>
      </c>
      <c r="P60" s="34">
        <f>IF(P34=0,IF(Q56-P59-P58&lt;P12-N12,Q56-P59-P58,P12-N12),IF(Q56-P59-P58&lt;P11-N11-P34,Q56-P59-P58,P11-N11-P34))</f>
        <v>0</v>
      </c>
      <c r="Q60" s="34">
        <f>P60*$O$12*$Q$3</f>
        <v>0</v>
      </c>
      <c r="R60" s="35">
        <f>P60*$O$12</f>
        <v>0</v>
      </c>
      <c r="S60" s="12"/>
      <c r="U60" s="25" t="s">
        <v>2</v>
      </c>
      <c r="V60" s="49">
        <f>MIN(DP_REL+DP_DIV,$L$11*$K$11)</f>
        <v>0</v>
      </c>
      <c r="W60" s="49">
        <f>MIN(MAX(DP_MUT_REL+DP_MUT_DIV-($U$10-$T$10)-W62-W61,0),$L$11*$K$11)</f>
        <v>0</v>
      </c>
      <c r="X60" s="49">
        <f>MAX(MIN(MAX(P72+P73,0),$L$11*$K$11-V60+W60),0)</f>
        <v>400</v>
      </c>
      <c r="Y60" s="49">
        <f>MAX($K$11*$L$11-(V60+W60+X60),0)</f>
        <v>0</v>
      </c>
      <c r="Z60" s="50">
        <f>Y60/$K$11</f>
        <v>0</v>
      </c>
    </row>
    <row r="61" spans="1:26" ht="15.6" x14ac:dyDescent="0.3">
      <c r="A61" s="138" t="s">
        <v>173</v>
      </c>
      <c r="B61" s="138"/>
      <c r="C61" s="88">
        <f>C53+DP_DIV</f>
        <v>780</v>
      </c>
      <c r="D61" s="87">
        <f>C61*$Q$3</f>
        <v>704.34</v>
      </c>
      <c r="F61" s="120"/>
      <c r="G61" s="94"/>
      <c r="J61" s="114" t="s">
        <v>14</v>
      </c>
      <c r="K61" s="28">
        <f>MAX($L$56-SUM(K58:K60),0)</f>
        <v>0</v>
      </c>
      <c r="L61" s="28">
        <v>0</v>
      </c>
      <c r="M61" s="29">
        <v>0</v>
      </c>
      <c r="O61" s="114" t="s">
        <v>14</v>
      </c>
      <c r="P61" s="28">
        <f>MAX($Q$56-SUM(P58:P60),0)</f>
        <v>0</v>
      </c>
      <c r="Q61" s="28">
        <v>0</v>
      </c>
      <c r="R61" s="29">
        <v>0</v>
      </c>
      <c r="S61" s="12"/>
      <c r="U61" s="30" t="s">
        <v>3</v>
      </c>
      <c r="V61" s="49">
        <f>MIN(DP_REL+DP_DIV-V60,($N$11-$L$11)*$M$11)</f>
        <v>0</v>
      </c>
      <c r="W61" s="49">
        <f>MIN(MAX(DP_MUT_REL+DP_MUT_DIV-($U$10-$S$10)-W62,0),($N$11-$L$11)*$M$11)</f>
        <v>0</v>
      </c>
      <c r="X61" s="49">
        <f>MAX(MIN(MAX(P72+P73-X60,0),($N$11-$L$11)*$M$11-V61-W61),0)</f>
        <v>480</v>
      </c>
      <c r="Y61" s="49">
        <f>MAX(($N$11-$L$11)*$M$11-(V61+W61+X61),0)</f>
        <v>0</v>
      </c>
      <c r="Z61" s="50">
        <f>Y61/$M$11</f>
        <v>0</v>
      </c>
    </row>
    <row r="62" spans="1:26" x14ac:dyDescent="0.3">
      <c r="F62" s="120"/>
      <c r="G62" s="94"/>
      <c r="K62" s="14">
        <f>SUM(K58:K61)</f>
        <v>100</v>
      </c>
      <c r="L62" s="14">
        <f>SUM(L58:L61)</f>
        <v>180.6</v>
      </c>
      <c r="M62" s="14">
        <f>SUM(M58:M61)</f>
        <v>200</v>
      </c>
      <c r="P62" s="14">
        <f>SUM(P58:P61)</f>
        <v>1000</v>
      </c>
      <c r="Q62" s="14">
        <f>SUM(Q58:Q61)</f>
        <v>704.34</v>
      </c>
      <c r="R62" s="14">
        <f>SUM(R58:R61)</f>
        <v>780</v>
      </c>
      <c r="S62" s="14"/>
      <c r="T62" s="3"/>
      <c r="U62" s="51" t="s">
        <v>5</v>
      </c>
      <c r="V62" s="52">
        <f>MIN(DP_REL+DP_DIV-V60-V61,($P$11-$N$11)*$O$11)</f>
        <v>0</v>
      </c>
      <c r="W62" s="52">
        <f>MIN(MAX(0,DP_MUT_REL+DP_MUT_DIV-($U$10-$S$10)),($P$11-$N$11)*$O$11)</f>
        <v>0</v>
      </c>
      <c r="X62" s="52">
        <f>MAX(MIN(MAX(0,P72+P73-X61-X60),($P$11-$N$11)*$O$11-V62-W62),0)</f>
        <v>100</v>
      </c>
      <c r="Y62" s="52">
        <f>MAX(($P$11-$N$11)*$O$11-(V62+W62+X62),0)</f>
        <v>449449.55</v>
      </c>
      <c r="Z62" s="53">
        <f>Y62/$O$11</f>
        <v>998776.77777777775</v>
      </c>
    </row>
    <row r="63" spans="1:26" ht="15.6" x14ac:dyDescent="0.3">
      <c r="A63" s="139" t="s">
        <v>174</v>
      </c>
      <c r="B63" s="139"/>
      <c r="C63" s="88">
        <f>C60+C61</f>
        <v>980</v>
      </c>
      <c r="D63" s="88">
        <f>D60+D61</f>
        <v>884.94</v>
      </c>
      <c r="F63" s="120"/>
      <c r="G63" s="94"/>
      <c r="T63" s="22"/>
      <c r="U63" s="3"/>
      <c r="V63" s="18"/>
      <c r="W63" s="18"/>
      <c r="X63" s="18"/>
      <c r="Y63" s="71">
        <f>SUM(Y60:Y62)</f>
        <v>449449.55</v>
      </c>
      <c r="Z63" s="71">
        <f>SUM(Z60:Z62)</f>
        <v>998776.77777777775</v>
      </c>
    </row>
    <row r="64" spans="1:26" x14ac:dyDescent="0.3">
      <c r="A64" s="95"/>
      <c r="B64" s="95"/>
      <c r="C64" s="96"/>
      <c r="D64" s="96"/>
      <c r="E64" s="96"/>
      <c r="F64" s="96"/>
      <c r="G64" s="97"/>
      <c r="N64" s="22"/>
      <c r="O64" s="22"/>
      <c r="P64" s="22"/>
      <c r="Q64" s="22"/>
      <c r="R64" s="22"/>
      <c r="S64" s="22"/>
      <c r="T64" s="22"/>
      <c r="Y64" s="22"/>
    </row>
    <row r="65" spans="1:31" ht="25.05" customHeight="1" x14ac:dyDescent="0.3">
      <c r="A65" s="398" t="s">
        <v>147</v>
      </c>
      <c r="B65" s="398"/>
      <c r="C65" s="399"/>
      <c r="J65" s="46" t="s">
        <v>18</v>
      </c>
      <c r="K65" s="46"/>
      <c r="L65" s="47"/>
      <c r="M65" s="47"/>
      <c r="N65" s="47"/>
      <c r="O65" s="47"/>
      <c r="P65" s="47"/>
      <c r="Q65" s="47"/>
      <c r="R65" s="47"/>
      <c r="S65" s="47"/>
      <c r="T65" s="47"/>
      <c r="V65" s="46" t="s">
        <v>163</v>
      </c>
      <c r="W65" s="46"/>
      <c r="X65" s="47"/>
      <c r="Y65" s="47"/>
      <c r="Z65" s="47"/>
      <c r="AA65" s="47"/>
      <c r="AB65" s="47"/>
      <c r="AC65" s="47"/>
      <c r="AD65" s="47"/>
      <c r="AE65" s="47"/>
    </row>
    <row r="66" spans="1:31" ht="15" thickBot="1" x14ac:dyDescent="0.35">
      <c r="J66" s="46"/>
      <c r="K66" s="46"/>
      <c r="L66" s="47"/>
      <c r="M66" s="47"/>
      <c r="N66" s="47"/>
      <c r="O66" s="47"/>
      <c r="P66" s="47"/>
      <c r="Q66" s="47"/>
      <c r="R66" s="47"/>
      <c r="S66" s="47"/>
      <c r="T66" s="47"/>
    </row>
    <row r="67" spans="1:31" ht="16.2" thickBot="1" x14ac:dyDescent="0.35">
      <c r="A67" s="301" t="s">
        <v>166</v>
      </c>
      <c r="J67" s="17" t="s">
        <v>35</v>
      </c>
      <c r="N67" s="36" t="s">
        <v>28</v>
      </c>
      <c r="O67" s="37" t="s">
        <v>25</v>
      </c>
      <c r="P67" s="38" t="s">
        <v>29</v>
      </c>
      <c r="Q67" s="36" t="s">
        <v>27</v>
      </c>
      <c r="R67" s="37" t="s">
        <v>26</v>
      </c>
      <c r="S67" s="126"/>
      <c r="T67" s="38" t="s">
        <v>30</v>
      </c>
      <c r="V67" s="389" t="s">
        <v>47</v>
      </c>
      <c r="W67" s="390"/>
      <c r="X67" s="391"/>
    </row>
    <row r="68" spans="1:31" x14ac:dyDescent="0.3">
      <c r="J68" s="1" t="s">
        <v>48</v>
      </c>
      <c r="N68" s="39">
        <f>MAX(MIN($M$47,$R$11),0)</f>
        <v>200</v>
      </c>
      <c r="O68" s="40">
        <f>MAX(MIN($N$68,$T$11),0)</f>
        <v>200</v>
      </c>
      <c r="P68" s="41">
        <f>MAX(IF(O68&gt;U11,MAX(U11,0),O68),0)</f>
        <v>200</v>
      </c>
      <c r="Q68" s="39">
        <f>N68*$Q$3</f>
        <v>180.6</v>
      </c>
      <c r="R68" s="40">
        <f>O68*$Q$3</f>
        <v>180.6</v>
      </c>
      <c r="S68" s="127"/>
      <c r="T68" s="41">
        <f>P68*$Q$3</f>
        <v>180.6</v>
      </c>
      <c r="V68" s="15" t="s">
        <v>164</v>
      </c>
      <c r="X68" s="2">
        <f>DP_REL</f>
        <v>0</v>
      </c>
    </row>
    <row r="69" spans="1:31" x14ac:dyDescent="0.3">
      <c r="J69" s="1" t="s">
        <v>17</v>
      </c>
      <c r="N69" s="42">
        <f>MAX(MIN($R$47,$R$12),0)</f>
        <v>780</v>
      </c>
      <c r="O69" s="43">
        <f>MAX(MIN($N$69,$T$12-O68),0)</f>
        <v>780</v>
      </c>
      <c r="P69" s="44">
        <f>MAX(IF(O68&lt;U12,IF(O69+O68&gt;U12,U12-O68,O69),0),0)</f>
        <v>780</v>
      </c>
      <c r="Q69" s="42">
        <f>N69*$Q$3</f>
        <v>704.34</v>
      </c>
      <c r="R69" s="43">
        <f>O69*$Q$3</f>
        <v>704.34</v>
      </c>
      <c r="S69" s="128"/>
      <c r="T69" s="44">
        <f>P69*$Q$3</f>
        <v>704.34</v>
      </c>
      <c r="V69" s="9"/>
      <c r="W69" s="10" t="s">
        <v>8</v>
      </c>
      <c r="X69" s="110"/>
    </row>
    <row r="70" spans="1:31" x14ac:dyDescent="0.3">
      <c r="V70" s="11" t="s">
        <v>2</v>
      </c>
      <c r="W70" s="12">
        <f>MIN(X68/'POLITIQUE D''ABONDEMENT SGPM'!D5,'POLITIQUE D''ABONDEMENT SGPM'!E5)</f>
        <v>0</v>
      </c>
      <c r="X70" s="13"/>
    </row>
    <row r="71" spans="1:31" ht="15.6" x14ac:dyDescent="0.3">
      <c r="J71" s="17" t="s">
        <v>33</v>
      </c>
      <c r="N71" s="36" t="s">
        <v>28</v>
      </c>
      <c r="O71" s="37" t="s">
        <v>25</v>
      </c>
      <c r="P71" s="38" t="s">
        <v>29</v>
      </c>
      <c r="Q71" s="36" t="s">
        <v>27</v>
      </c>
      <c r="R71" s="37" t="s">
        <v>26</v>
      </c>
      <c r="S71" s="126"/>
      <c r="T71" s="38" t="s">
        <v>30</v>
      </c>
      <c r="V71" s="11" t="s">
        <v>3</v>
      </c>
      <c r="W71" s="12">
        <f>IF(AND(X68&gt;'POLITIQUE D''ABONDEMENT SGPM'!F5,X68&lt;('POLITIQUE D''ABONDEMENT SGPM'!F5+'POLITIQUE D''ABONDEMENT SGPM'!F6)),(X68-'POLITIQUE D''ABONDEMENT SGPM'!F5)/'POLITIQUE D''ABONDEMENT SGPM'!D6,IF(X68&gt;'POLITIQUE D''ABONDEMENT SGPM'!F5+'POLITIQUE D''ABONDEMENT SGPM'!F6,800,0))</f>
        <v>0</v>
      </c>
      <c r="X71" s="13"/>
    </row>
    <row r="72" spans="1:31" x14ac:dyDescent="0.3">
      <c r="J72" s="1" t="s">
        <v>48</v>
      </c>
      <c r="N72" s="39">
        <f>MAX(MIN($M$62,$R$11),0)</f>
        <v>200</v>
      </c>
      <c r="O72" s="40">
        <f>MAX(MIN($N$72,$T$11),0)</f>
        <v>200</v>
      </c>
      <c r="P72" s="41">
        <f>MAX(IF(O72&gt;U11,MAX(U11,0),O72),0)</f>
        <v>200</v>
      </c>
      <c r="Q72" s="39">
        <f>N72*$Q$3</f>
        <v>180.6</v>
      </c>
      <c r="R72" s="40">
        <f>O72*$Q$3</f>
        <v>180.6</v>
      </c>
      <c r="S72" s="127"/>
      <c r="T72" s="41">
        <f>P72*$Q$3</f>
        <v>180.6</v>
      </c>
      <c r="V72" s="11" t="s">
        <v>5</v>
      </c>
      <c r="W72" s="12">
        <f>IF(X68&gt;'POLITIQUE D''ABONDEMENT SGPM'!F5+'POLITIQUE D''ABONDEMENT SGPM'!F6,(X68-'POLITIQUE D''ABONDEMENT SGPM'!F5-'POLITIQUE D''ABONDEMENT SGPM'!F6)/'POLITIQUE D''ABONDEMENT SGPM'!D7,0)</f>
        <v>0</v>
      </c>
      <c r="X72" s="13"/>
    </row>
    <row r="73" spans="1:31" x14ac:dyDescent="0.3">
      <c r="J73" s="1" t="s">
        <v>17</v>
      </c>
      <c r="N73" s="42">
        <f>MAX(MIN($R$62,$R$12),0)</f>
        <v>780</v>
      </c>
      <c r="O73" s="43">
        <f>MAX(MIN($N$73,$T$12-O72),0)</f>
        <v>780</v>
      </c>
      <c r="P73" s="44">
        <f>MAX(IF(O72&lt;U12,IF(O73+O72&gt;U12,U12-O72,O73),0),0)</f>
        <v>780</v>
      </c>
      <c r="Q73" s="42">
        <f>N73*$Q$3</f>
        <v>704.34</v>
      </c>
      <c r="R73" s="43">
        <f>O73*$Q$3</f>
        <v>704.34</v>
      </c>
      <c r="S73" s="128"/>
      <c r="T73" s="44">
        <f>P73*$Q$3</f>
        <v>704.34</v>
      </c>
      <c r="V73" s="392" t="s">
        <v>109</v>
      </c>
      <c r="W73" s="394">
        <f>MIN(SUM(W70:W72),'POLITIQUE D''ABONDEMENT SGPM'!E8)</f>
        <v>0</v>
      </c>
      <c r="X73" s="396"/>
    </row>
    <row r="74" spans="1:31" x14ac:dyDescent="0.3">
      <c r="V74" s="393"/>
      <c r="W74" s="395"/>
      <c r="X74" s="397"/>
    </row>
    <row r="75" spans="1:31" x14ac:dyDescent="0.3">
      <c r="J75" s="46" t="s">
        <v>65</v>
      </c>
      <c r="K75" s="46"/>
      <c r="L75" s="47"/>
      <c r="M75" s="47"/>
      <c r="N75" s="47"/>
      <c r="O75" s="47"/>
      <c r="P75" s="47"/>
      <c r="Q75" s="47"/>
      <c r="R75" s="47"/>
      <c r="S75" s="47"/>
      <c r="T75" s="47"/>
    </row>
    <row r="76" spans="1:31" ht="15" thickBot="1" x14ac:dyDescent="0.35">
      <c r="J76" s="1" t="s">
        <v>66</v>
      </c>
      <c r="L76" s="123">
        <f>T11-C55</f>
        <v>1220</v>
      </c>
    </row>
    <row r="77" spans="1:31" ht="16.2" thickBot="1" x14ac:dyDescent="0.35">
      <c r="V77" s="389" t="s">
        <v>7</v>
      </c>
      <c r="W77" s="390"/>
      <c r="X77" s="391"/>
    </row>
    <row r="78" spans="1:31" x14ac:dyDescent="0.3">
      <c r="V78" s="15" t="s">
        <v>164</v>
      </c>
      <c r="X78" s="2">
        <f>DP_DIV</f>
        <v>0</v>
      </c>
    </row>
    <row r="79" spans="1:31" x14ac:dyDescent="0.3">
      <c r="V79" s="9"/>
      <c r="W79" s="10" t="s">
        <v>11</v>
      </c>
      <c r="X79" s="110"/>
    </row>
    <row r="80" spans="1:31" x14ac:dyDescent="0.3">
      <c r="L80" s="123"/>
      <c r="V80" s="11" t="s">
        <v>2</v>
      </c>
      <c r="W80" s="12">
        <f>MIN(X78/'POLITIQUE D''ABONDEMENT SGPM'!J5,'POLITIQUE D''ABONDEMENT SGPM'!K5)</f>
        <v>0</v>
      </c>
      <c r="X80" s="13"/>
    </row>
    <row r="81" spans="22:24" x14ac:dyDescent="0.3">
      <c r="V81" s="11" t="s">
        <v>3</v>
      </c>
      <c r="W81" s="12">
        <f>IF(AND(X78&gt;'POLITIQUE D''ABONDEMENT SGPM'!L5,X78&lt;('POLITIQUE D''ABONDEMENT SGPM'!L5+'POLITIQUE D''ABONDEMENT SGPM'!L6)),(X78-'POLITIQUE D''ABONDEMENT SGPM'!L5)/'POLITIQUE D''ABONDEMENT SGPM'!J6,IF(X78&gt;'POLITIQUE D''ABONDEMENT SGPM'!L5+'POLITIQUE D''ABONDEMENT SGPM'!L6,800,0))</f>
        <v>0</v>
      </c>
      <c r="X81" s="13"/>
    </row>
    <row r="82" spans="22:24" x14ac:dyDescent="0.3">
      <c r="V82" s="11" t="s">
        <v>5</v>
      </c>
      <c r="W82" s="12">
        <f>IF(X78&gt;'POLITIQUE D''ABONDEMENT SGPM'!L5+'POLITIQUE D''ABONDEMENT SGPM'!L6,(X78-'POLITIQUE D''ABONDEMENT SGPM'!L5-'POLITIQUE D''ABONDEMENT SGPM'!L6)/'POLITIQUE D''ABONDEMENT SGPM'!J7,0)</f>
        <v>0</v>
      </c>
      <c r="X82" s="13"/>
    </row>
    <row r="83" spans="22:24" x14ac:dyDescent="0.3">
      <c r="V83" s="297" t="s">
        <v>109</v>
      </c>
      <c r="W83" s="119">
        <f>MIN(SUM(W80:W82),'POLITIQUE D''ABONDEMENT SGPM'!K8)</f>
        <v>0</v>
      </c>
      <c r="X83" s="129"/>
    </row>
    <row r="84" spans="22:24" x14ac:dyDescent="0.3">
      <c r="V84" s="298"/>
      <c r="W84" s="143"/>
      <c r="X84" s="130"/>
    </row>
  </sheetData>
  <sheetProtection algorithmName="SHA-512" hashValue="i28X1jKXb7CHUQNug6n1quepH5qh7jn7ePXcXroUF0UOjk+zy95REfPzo3DSwrBX7Ns/et1YsDD/rMYzYjAO9w==" saltValue="k8tzYiFDL6vyDHFvopuNRA==" spinCount="100000" sheet="1"/>
  <protectedRanges>
    <protectedRange sqref="C35:C36 C47 C39:C41 C43:C45 C3:C4 C6:C7 C24:C25 C20:C21 C28:C30 C11:C17" name="Saisie"/>
    <protectedRange sqref="C65" name="Saisie_1"/>
  </protectedRanges>
  <customSheetViews>
    <customSheetView guid="{49BB82C4-E509-41D7-8598-FE67063C496F}" scale="50" fitToPage="1" printArea="1" hiddenColumns="1">
      <selection activeCell="B2" sqref="B2:H2"/>
      <pageMargins left="0.7" right="0.7" top="0.75" bottom="0.75" header="0.3" footer="0.3"/>
      <pageSetup paperSize="9" scale="70" fitToWidth="0" orientation="landscape"/>
    </customSheetView>
  </customSheetViews>
  <mergeCells count="59">
    <mergeCell ref="Q35:Q36"/>
    <mergeCell ref="A12:B12"/>
    <mergeCell ref="A20:B20"/>
    <mergeCell ref="J35:J36"/>
    <mergeCell ref="E28:F28"/>
    <mergeCell ref="E29:F29"/>
    <mergeCell ref="A17:B17"/>
    <mergeCell ref="A24:B24"/>
    <mergeCell ref="A25:B25"/>
    <mergeCell ref="J55:M55"/>
    <mergeCell ref="O55:R55"/>
    <mergeCell ref="K35:K36"/>
    <mergeCell ref="R35:R36"/>
    <mergeCell ref="A3:B3"/>
    <mergeCell ref="A11:B11"/>
    <mergeCell ref="A21:B21"/>
    <mergeCell ref="A28:B28"/>
    <mergeCell ref="A29:B29"/>
    <mergeCell ref="A35:B35"/>
    <mergeCell ref="E39:E42"/>
    <mergeCell ref="E43:E45"/>
    <mergeCell ref="A36:B36"/>
    <mergeCell ref="E47:F48"/>
    <mergeCell ref="O35:O36"/>
    <mergeCell ref="P35:P36"/>
    <mergeCell ref="J39:M39"/>
    <mergeCell ref="AB35:AB36"/>
    <mergeCell ref="AC35:AC36"/>
    <mergeCell ref="U39:X39"/>
    <mergeCell ref="E11:F12"/>
    <mergeCell ref="O39:R39"/>
    <mergeCell ref="J24:M24"/>
    <mergeCell ref="O24:R24"/>
    <mergeCell ref="M35:M36"/>
    <mergeCell ref="E35:F36"/>
    <mergeCell ref="L35:L36"/>
    <mergeCell ref="U24:X24"/>
    <mergeCell ref="Z24:AC24"/>
    <mergeCell ref="U35:U36"/>
    <mergeCell ref="V35:V36"/>
    <mergeCell ref="W35:W36"/>
    <mergeCell ref="U46:U47"/>
    <mergeCell ref="V46:V47"/>
    <mergeCell ref="W46:W47"/>
    <mergeCell ref="X46:X47"/>
    <mergeCell ref="AA35:AA36"/>
    <mergeCell ref="X35:X36"/>
    <mergeCell ref="Z35:Z36"/>
    <mergeCell ref="A65:C65"/>
    <mergeCell ref="A2:G2"/>
    <mergeCell ref="A5:B5"/>
    <mergeCell ref="A6:B6"/>
    <mergeCell ref="A7:B7"/>
    <mergeCell ref="A16:B16"/>
    <mergeCell ref="V67:X67"/>
    <mergeCell ref="V77:X77"/>
    <mergeCell ref="V73:V74"/>
    <mergeCell ref="W73:W74"/>
    <mergeCell ref="X73:X74"/>
  </mergeCells>
  <conditionalFormatting sqref="A11:B12 A16:B17 A20:B21">
    <cfRule type="expression" dxfId="12" priority="7">
      <formula>$C$6="NON"</formula>
    </cfRule>
  </conditionalFormatting>
  <conditionalFormatting sqref="A24:B25">
    <cfRule type="expression" dxfId="11" priority="5">
      <formula>$C$7="NON"</formula>
    </cfRule>
  </conditionalFormatting>
  <conditionalFormatting sqref="C11:C12 C16:C17 C20:C21">
    <cfRule type="expression" dxfId="10" priority="6" stopIfTrue="1">
      <formula>$C$6="NON"</formula>
    </cfRule>
  </conditionalFormatting>
  <conditionalFormatting sqref="C24:C25">
    <cfRule type="expression" dxfId="9" priority="1">
      <formula>$C$7="NON"</formula>
    </cfRule>
  </conditionalFormatting>
  <conditionalFormatting sqref="K46 P46 K61 P61">
    <cfRule type="cellIs" dxfId="8" priority="10" stopIfTrue="1" operator="lessThan">
      <formula>0</formula>
    </cfRule>
  </conditionalFormatting>
  <dataValidations count="1">
    <dataValidation type="list" allowBlank="1" showInputMessage="1" showErrorMessage="1" sqref="C3:C4 C6:C7" xr:uid="{00000000-0002-0000-0100-000000000000}">
      <formula1>"OUI,NON"</formula1>
    </dataValidation>
  </dataValidations>
  <pageMargins left="0.7" right="0.7" top="0.75" bottom="0.75" header="0.3" footer="0.3"/>
  <pageSetup paperSize="9" scale="70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F3DF-A93C-EB44-8EB5-3E834FEB0DE2}">
  <dimension ref="A1:AE124"/>
  <sheetViews>
    <sheetView topLeftCell="B56" workbookViewId="0">
      <selection activeCell="C78" sqref="C78"/>
    </sheetView>
  </sheetViews>
  <sheetFormatPr baseColWidth="10" defaultColWidth="0" defaultRowHeight="14.4" x14ac:dyDescent="0.3"/>
  <cols>
    <col min="1" max="1" width="58.77734375" style="1" customWidth="1"/>
    <col min="2" max="2" width="66.6640625" style="1" customWidth="1"/>
    <col min="3" max="5" width="33.33203125" style="1" customWidth="1"/>
    <col min="6" max="6" width="23.109375" style="1" customWidth="1"/>
    <col min="7" max="8" width="0" style="1" hidden="1" customWidth="1"/>
    <col min="9" max="9" width="23.109375" style="1" hidden="1" customWidth="1"/>
    <col min="10" max="10" width="39.109375" style="1" hidden="1" customWidth="1"/>
    <col min="11" max="11" width="30.109375" style="1" hidden="1" customWidth="1"/>
    <col min="12" max="12" width="11" style="1" hidden="1" customWidth="1"/>
    <col min="13" max="13" width="11.77734375" style="1" hidden="1" customWidth="1"/>
    <col min="14" max="14" width="10" style="1" hidden="1" customWidth="1"/>
    <col min="15" max="15" width="15.109375" style="1" hidden="1" customWidth="1"/>
    <col min="16" max="16" width="12" style="1" hidden="1" customWidth="1"/>
    <col min="17" max="17" width="12.6640625" style="1" hidden="1" customWidth="1"/>
    <col min="18" max="18" width="12.44140625" style="1" hidden="1" customWidth="1"/>
    <col min="19" max="19" width="18" style="1" hidden="1" customWidth="1"/>
    <col min="20" max="20" width="16.109375" style="1" hidden="1" customWidth="1"/>
    <col min="21" max="21" width="45" style="1" hidden="1" customWidth="1"/>
    <col min="22" max="22" width="17.33203125" style="1" hidden="1" customWidth="1"/>
    <col min="23" max="23" width="22" style="1" hidden="1" customWidth="1"/>
    <col min="24" max="24" width="11.77734375" style="1" hidden="1" customWidth="1"/>
    <col min="25" max="25" width="20.77734375" style="1" hidden="1" customWidth="1"/>
    <col min="26" max="26" width="0" style="1" hidden="1" customWidth="1"/>
    <col min="27" max="27" width="14.77734375" style="1" hidden="1" customWidth="1"/>
    <col min="28" max="28" width="17.33203125" style="1" hidden="1" customWidth="1"/>
    <col min="29" max="29" width="22" style="1" hidden="1" customWidth="1"/>
    <col min="30" max="30" width="12.44140625" style="1" hidden="1" customWidth="1"/>
    <col min="31" max="31" width="20.77734375" style="1" hidden="1" customWidth="1"/>
    <col min="32" max="16384" width="23.109375" style="1" hidden="1"/>
  </cols>
  <sheetData>
    <row r="1" spans="1:31" s="163" customFormat="1" hidden="1" x14ac:dyDescent="0.3"/>
    <row r="2" spans="1:31" ht="15" hidden="1" thickBot="1" x14ac:dyDescent="0.35">
      <c r="A2" s="445" t="s">
        <v>141</v>
      </c>
      <c r="B2" s="446"/>
      <c r="C2" s="446"/>
      <c r="D2" s="446"/>
      <c r="E2" s="446"/>
      <c r="F2" s="286"/>
      <c r="G2" s="285"/>
    </row>
    <row r="3" spans="1:31" ht="15" hidden="1" thickBot="1" x14ac:dyDescent="0.35">
      <c r="A3" s="447" t="s">
        <v>23</v>
      </c>
      <c r="B3" s="448"/>
      <c r="C3" s="284" t="str">
        <f>'Simuler mon abondement SGPM'!C3</f>
        <v>OUI</v>
      </c>
      <c r="D3" s="259"/>
      <c r="E3" s="436"/>
      <c r="F3" s="436"/>
      <c r="G3" s="78"/>
      <c r="J3" s="3" t="s">
        <v>19</v>
      </c>
      <c r="O3" s="19" t="s">
        <v>16</v>
      </c>
      <c r="P3" s="20"/>
      <c r="Q3" s="21">
        <f>IF(C3="OUI",0.903,1)</f>
        <v>0.90300000000000002</v>
      </c>
    </row>
    <row r="4" spans="1:31" hidden="1" x14ac:dyDescent="0.3">
      <c r="A4" s="273"/>
      <c r="B4" s="273"/>
      <c r="C4" s="273"/>
      <c r="D4" s="259"/>
      <c r="E4" s="436"/>
      <c r="F4" s="436"/>
      <c r="G4" s="78"/>
      <c r="J4" s="3"/>
    </row>
    <row r="5" spans="1:31" hidden="1" x14ac:dyDescent="0.3">
      <c r="A5" s="219" t="s">
        <v>43</v>
      </c>
      <c r="B5" s="259"/>
      <c r="C5" s="259"/>
      <c r="D5" s="259"/>
      <c r="G5" s="78"/>
      <c r="K5" s="4" t="s">
        <v>2</v>
      </c>
      <c r="L5" s="4" t="s">
        <v>1</v>
      </c>
      <c r="M5" s="4" t="s">
        <v>3</v>
      </c>
      <c r="N5" s="4" t="s">
        <v>4</v>
      </c>
      <c r="O5" s="4" t="s">
        <v>5</v>
      </c>
      <c r="P5" s="4" t="s">
        <v>6</v>
      </c>
      <c r="Q5" s="3" t="s">
        <v>21</v>
      </c>
      <c r="R5" s="3" t="s">
        <v>20</v>
      </c>
      <c r="S5" s="3" t="s">
        <v>22</v>
      </c>
      <c r="T5" s="3" t="s">
        <v>32</v>
      </c>
      <c r="U5" s="3" t="s">
        <v>31</v>
      </c>
      <c r="V5" s="3"/>
      <c r="W5" s="3"/>
    </row>
    <row r="6" spans="1:31" s="163" customFormat="1" hidden="1" x14ac:dyDescent="0.3">
      <c r="A6" s="283"/>
      <c r="B6" s="282"/>
      <c r="C6" s="259"/>
      <c r="D6" s="259"/>
      <c r="E6" s="1"/>
      <c r="F6" s="1"/>
      <c r="G6" s="255"/>
      <c r="S6" s="281">
        <f>MAX(R7,R8)</f>
        <v>2200.0029999999997</v>
      </c>
      <c r="T6" s="281"/>
      <c r="U6" s="280">
        <f>3241.92</f>
        <v>3241.92</v>
      </c>
      <c r="V6" s="280"/>
      <c r="W6" s="280"/>
    </row>
    <row r="7" spans="1:31" hidden="1" x14ac:dyDescent="0.3">
      <c r="A7" s="432" t="s">
        <v>140</v>
      </c>
      <c r="B7" s="432"/>
      <c r="C7" s="257">
        <f>DV_REL</f>
        <v>0</v>
      </c>
      <c r="D7" s="259"/>
      <c r="E7" s="436" t="str">
        <f>IF(AND(ISERROR(SEARCH(".",DV_REL)),ISERROR(SEARCH(".",DV_DIV))),IF(OR(NOT(ISNUMBER(DV_REL)),NOT(ISNUMBER(DV_DIV))),"Les montants saisis doivent être des nombres.",""),"Le séparateur de décimales doit être une virgule.")</f>
        <v/>
      </c>
      <c r="F7" s="436"/>
      <c r="G7" s="78"/>
      <c r="J7" s="5" t="s">
        <v>46</v>
      </c>
      <c r="K7" s="278">
        <v>2</v>
      </c>
      <c r="L7" s="279">
        <v>200</v>
      </c>
      <c r="M7" s="278">
        <v>0.6</v>
      </c>
      <c r="N7" s="279">
        <v>1000</v>
      </c>
      <c r="O7" s="278">
        <v>0.45</v>
      </c>
      <c r="P7" s="277">
        <v>999999</v>
      </c>
      <c r="Q7" s="16">
        <f>L7*K7+(N7-L7)*M7+(P7-N7)*O7</f>
        <v>450429.55</v>
      </c>
      <c r="R7" s="16">
        <f>'POLITIQUE D''ABONDEMENT SGPM'!F8-DP_REL</f>
        <v>2200.0029999999997</v>
      </c>
      <c r="S7" s="7">
        <f>$S$6</f>
        <v>2200.0029999999997</v>
      </c>
      <c r="T7" s="7">
        <f>S7-(+DP_DIV+DP_MUT_REL+DP_MUT_DIV)</f>
        <v>2200.0029999999997</v>
      </c>
      <c r="U7" s="2">
        <f>U6-(DP_REL+DP_DIV+DP_MUT_REL+DP_MUT_DIV)</f>
        <v>3241.92</v>
      </c>
    </row>
    <row r="8" spans="1:31" hidden="1" x14ac:dyDescent="0.3">
      <c r="A8" s="432" t="s">
        <v>139</v>
      </c>
      <c r="B8" s="432"/>
      <c r="C8" s="257">
        <f>DV_DIV</f>
        <v>0</v>
      </c>
      <c r="D8" s="259"/>
      <c r="E8" s="436"/>
      <c r="F8" s="436"/>
      <c r="G8" s="78"/>
      <c r="J8" s="5" t="s">
        <v>0</v>
      </c>
      <c r="K8" s="278">
        <v>1.5</v>
      </c>
      <c r="L8" s="279">
        <v>200</v>
      </c>
      <c r="M8" s="278">
        <v>0.6</v>
      </c>
      <c r="N8" s="279">
        <v>1000</v>
      </c>
      <c r="O8" s="278">
        <v>0.45</v>
      </c>
      <c r="P8" s="277">
        <v>999999</v>
      </c>
      <c r="Q8" s="16">
        <f>L8*K8+(N8-L8)*M8+(P8-N8)*O8</f>
        <v>450329.55</v>
      </c>
      <c r="R8" s="16">
        <f>MIN('POLITIQUE D''ABONDEMENT SGPM'!L8-DP_DIV,'POLITIQUE D''ABONDEMENT SGPM'!F8-DP_REL)</f>
        <v>1099.9995000000001</v>
      </c>
      <c r="S8" s="7">
        <f>$S$6</f>
        <v>2200.0029999999997</v>
      </c>
      <c r="T8" s="7">
        <f>S8-(+DP_DIV+DP_MUT_REL+DP_MUT_DIV)</f>
        <v>2200.0029999999997</v>
      </c>
      <c r="U8" s="2">
        <f>U6-(DP_REL+DP_DIV+DP_MUT_REL+DP_MUT_DIV)</f>
        <v>3241.92</v>
      </c>
    </row>
    <row r="9" spans="1:31" hidden="1" x14ac:dyDescent="0.3">
      <c r="A9" s="273"/>
      <c r="B9" s="273"/>
      <c r="C9" s="241"/>
      <c r="D9" s="259"/>
      <c r="G9" s="78"/>
    </row>
    <row r="10" spans="1:31" hidden="1" x14ac:dyDescent="0.3">
      <c r="A10" s="432" t="s">
        <v>138</v>
      </c>
      <c r="B10" s="432"/>
      <c r="C10" s="236">
        <f>DP_REL</f>
        <v>0</v>
      </c>
      <c r="D10" s="259"/>
      <c r="G10" s="78"/>
      <c r="V10" s="2"/>
    </row>
    <row r="11" spans="1:31" hidden="1" x14ac:dyDescent="0.3">
      <c r="A11" s="432" t="s">
        <v>137</v>
      </c>
      <c r="B11" s="432"/>
      <c r="C11" s="236">
        <f>DP_DIV</f>
        <v>0</v>
      </c>
      <c r="D11" s="259"/>
      <c r="G11" s="78"/>
      <c r="J11" s="46" t="s">
        <v>34</v>
      </c>
      <c r="K11" s="46"/>
      <c r="L11" s="47"/>
      <c r="M11" s="47"/>
      <c r="N11" s="47"/>
      <c r="O11" s="47"/>
      <c r="P11" s="47"/>
      <c r="Q11" s="47"/>
      <c r="R11" s="47"/>
      <c r="S11" s="47"/>
      <c r="U11" s="46" t="s">
        <v>67</v>
      </c>
      <c r="V11" s="46"/>
      <c r="W11" s="47"/>
      <c r="X11" s="47"/>
      <c r="Y11" s="47"/>
      <c r="Z11" s="47"/>
      <c r="AA11" s="47"/>
      <c r="AB11" s="47"/>
      <c r="AC11" s="47"/>
      <c r="AD11" s="47"/>
      <c r="AE11" s="47"/>
    </row>
    <row r="12" spans="1:31" ht="15" hidden="1" thickBot="1" x14ac:dyDescent="0.35">
      <c r="A12" s="276" t="s">
        <v>136</v>
      </c>
      <c r="B12" s="275"/>
      <c r="C12" s="275"/>
      <c r="D12" s="259"/>
      <c r="G12" s="259"/>
    </row>
    <row r="13" spans="1:31" s="163" customFormat="1" ht="15" hidden="1" thickBot="1" x14ac:dyDescent="0.35">
      <c r="A13" s="244"/>
      <c r="B13" s="244"/>
      <c r="C13" s="244"/>
      <c r="D13" s="259"/>
      <c r="E13" s="1"/>
      <c r="F13" s="1"/>
      <c r="G13" s="259"/>
      <c r="J13" s="429" t="s">
        <v>47</v>
      </c>
      <c r="K13" s="430"/>
      <c r="L13" s="430"/>
      <c r="M13" s="431"/>
      <c r="O13" s="429" t="s">
        <v>7</v>
      </c>
      <c r="P13" s="430"/>
      <c r="Q13" s="430"/>
      <c r="R13" s="431"/>
      <c r="S13" s="274"/>
      <c r="U13" s="429" t="s">
        <v>47</v>
      </c>
      <c r="V13" s="430"/>
      <c r="W13" s="430"/>
      <c r="X13" s="431"/>
      <c r="AA13" s="429" t="s">
        <v>7</v>
      </c>
      <c r="AB13" s="430"/>
      <c r="AC13" s="430"/>
      <c r="AD13" s="431"/>
      <c r="AE13" s="274"/>
    </row>
    <row r="14" spans="1:31" s="163" customFormat="1" hidden="1" x14ac:dyDescent="0.3">
      <c r="A14" s="273"/>
      <c r="B14" s="273"/>
      <c r="C14" s="273"/>
      <c r="D14" s="259"/>
      <c r="E14" s="1"/>
      <c r="F14" s="1"/>
      <c r="G14" s="259"/>
      <c r="J14" s="272" t="s">
        <v>15</v>
      </c>
      <c r="L14" s="209">
        <f>IF(DV_REL&lt;&gt;"",MIN(C7,P7),0)</f>
        <v>0</v>
      </c>
      <c r="O14" s="272" t="s">
        <v>15</v>
      </c>
      <c r="Q14" s="209">
        <f>IF(DV_DIV&lt;&gt;"",MIN(C8,2000),0)</f>
        <v>0</v>
      </c>
      <c r="U14" s="272" t="s">
        <v>15</v>
      </c>
      <c r="W14" s="209">
        <f>DV_REL</f>
        <v>0</v>
      </c>
      <c r="AA14" s="272" t="s">
        <v>15</v>
      </c>
      <c r="AC14" s="209">
        <f>DV_DIV_TER</f>
        <v>0</v>
      </c>
    </row>
    <row r="15" spans="1:31" hidden="1" x14ac:dyDescent="0.3">
      <c r="A15" s="219" t="s">
        <v>135</v>
      </c>
      <c r="B15" s="244"/>
      <c r="C15" s="244"/>
      <c r="D15" s="259"/>
      <c r="G15" s="259"/>
      <c r="J15" s="191"/>
      <c r="K15" s="190" t="s">
        <v>8</v>
      </c>
      <c r="L15" s="190" t="s">
        <v>9</v>
      </c>
      <c r="M15" s="270" t="s">
        <v>10</v>
      </c>
      <c r="O15" s="191"/>
      <c r="P15" s="190" t="s">
        <v>11</v>
      </c>
      <c r="Q15" s="271" t="s">
        <v>12</v>
      </c>
      <c r="R15" s="270" t="s">
        <v>13</v>
      </c>
      <c r="S15" s="264"/>
      <c r="U15" s="191"/>
      <c r="V15" s="190" t="s">
        <v>8</v>
      </c>
      <c r="W15" s="190" t="s">
        <v>9</v>
      </c>
      <c r="X15" s="270" t="s">
        <v>10</v>
      </c>
      <c r="AA15" s="191"/>
      <c r="AB15" s="190" t="s">
        <v>11</v>
      </c>
      <c r="AC15" s="271" t="s">
        <v>12</v>
      </c>
      <c r="AD15" s="270" t="s">
        <v>13</v>
      </c>
      <c r="AE15" s="264"/>
    </row>
    <row r="16" spans="1:31" s="163" customFormat="1" hidden="1" x14ac:dyDescent="0.3">
      <c r="A16" s="269"/>
      <c r="B16" s="244"/>
      <c r="C16" s="244"/>
      <c r="D16" s="259"/>
      <c r="E16" s="1"/>
      <c r="F16" s="1"/>
      <c r="G16" s="259"/>
      <c r="J16" s="268" t="s">
        <v>2</v>
      </c>
      <c r="K16" s="211">
        <f>MIN($L$7,$L$14)</f>
        <v>0</v>
      </c>
      <c r="L16" s="211">
        <f>K16*$K$7*$Q$3</f>
        <v>0</v>
      </c>
      <c r="M16" s="267">
        <f>K16*$K$7</f>
        <v>0</v>
      </c>
      <c r="O16" s="268" t="s">
        <v>2</v>
      </c>
      <c r="P16" s="211">
        <f>IF($Q$14&lt;$L$7,$Q$14,$L$7)</f>
        <v>0</v>
      </c>
      <c r="Q16" s="211">
        <f>P16*$K$8*$Q$3</f>
        <v>0</v>
      </c>
      <c r="R16" s="267">
        <f>P16*$K$8</f>
        <v>0</v>
      </c>
      <c r="S16" s="211"/>
      <c r="U16" s="268" t="s">
        <v>2</v>
      </c>
      <c r="V16" s="211">
        <f>MIN($L$7,$W$14)</f>
        <v>0</v>
      </c>
      <c r="W16" s="211">
        <f>V16*$K$7*$Q$3</f>
        <v>0</v>
      </c>
      <c r="X16" s="267">
        <f>V16*$K$7</f>
        <v>0</v>
      </c>
      <c r="AA16" s="268" t="s">
        <v>2</v>
      </c>
      <c r="AB16" s="211">
        <f>IF($AC$14&lt;$L$7,$AC$14,$L$7)</f>
        <v>0</v>
      </c>
      <c r="AC16" s="211">
        <f>AB16*$K$8*$Q$3</f>
        <v>0</v>
      </c>
      <c r="AD16" s="267">
        <f>AB16*$K$8</f>
        <v>0</v>
      </c>
      <c r="AE16" s="211"/>
    </row>
    <row r="17" spans="1:31" hidden="1" x14ac:dyDescent="0.3">
      <c r="A17" s="432" t="s">
        <v>134</v>
      </c>
      <c r="B17" s="432"/>
      <c r="C17" s="257">
        <f>DP_MUT_REL</f>
        <v>0</v>
      </c>
      <c r="D17" s="259"/>
      <c r="E17" s="1" t="str">
        <f>IF(AND(ISERROR(SEARCH(".",DP_MUT_REL)),ISERROR(SEARCH(".",DP_MUT_DIV))),IF(OR(NOT(ISNUMBER(DP_MUT_REL)),NOT(ISNUMBER(DP_MUT_DIV))),"Les montants saisis doivent être des nombres.",""),"Le séparateur de décimales doit être une virgule.")</f>
        <v/>
      </c>
      <c r="G17" s="259"/>
      <c r="J17" s="11" t="s">
        <v>3</v>
      </c>
      <c r="K17" s="12">
        <f>IF($L$14-K16&lt;$N$7-$L$7,$L$14-K16,$N$7-$L$7)</f>
        <v>0</v>
      </c>
      <c r="L17" s="12">
        <f>K17*$M$7*$Q$3</f>
        <v>0</v>
      </c>
      <c r="M17" s="13">
        <f>K17*$M$7</f>
        <v>0</v>
      </c>
      <c r="O17" s="11" t="s">
        <v>3</v>
      </c>
      <c r="P17" s="12">
        <f>IF($Q$14-P16&gt;$N$7-$L$7,$N$7-$L$7,$Q$14-P16)</f>
        <v>0</v>
      </c>
      <c r="Q17" s="12">
        <f>P17*$M$8*$Q$3</f>
        <v>0</v>
      </c>
      <c r="R17" s="13">
        <f>P17*$M$8</f>
        <v>0</v>
      </c>
      <c r="S17" s="12"/>
      <c r="U17" s="11" t="s">
        <v>3</v>
      </c>
      <c r="V17" s="12">
        <f>IF($W$14-V16&lt;$N$7-$L$7,$W$14-V16,$N$7-$L$7)</f>
        <v>0</v>
      </c>
      <c r="W17" s="12">
        <f>V17*$M$7*$Q$3</f>
        <v>0</v>
      </c>
      <c r="X17" s="13">
        <f>V17*$M$7</f>
        <v>0</v>
      </c>
      <c r="AA17" s="11" t="s">
        <v>3</v>
      </c>
      <c r="AB17" s="12">
        <f>IF($AC$14-AB16&gt;$N$7-$L$7,$N$7-$L$7,$AC$14-AB16)</f>
        <v>0</v>
      </c>
      <c r="AC17" s="12">
        <f>AB17*$M$8*$Q$3</f>
        <v>0</v>
      </c>
      <c r="AD17" s="13">
        <f>AB17*$M$8</f>
        <v>0</v>
      </c>
      <c r="AE17" s="12"/>
    </row>
    <row r="18" spans="1:31" hidden="1" x14ac:dyDescent="0.3">
      <c r="A18" s="432" t="s">
        <v>133</v>
      </c>
      <c r="B18" s="432"/>
      <c r="C18" s="257">
        <f>DP_MUT_DIV</f>
        <v>0</v>
      </c>
      <c r="D18" s="259"/>
      <c r="G18" s="259"/>
      <c r="J18" s="11" t="s">
        <v>5</v>
      </c>
      <c r="K18" s="12">
        <f>IF($L$14-K17-K16&lt;$P$7-$N$7,$L$14-K17-K16,$P$7-$N$7)</f>
        <v>0</v>
      </c>
      <c r="L18" s="12">
        <f>K18*$O$7*$Q$3</f>
        <v>0</v>
      </c>
      <c r="M18" s="13">
        <f>K18*$O$7</f>
        <v>0</v>
      </c>
      <c r="O18" s="11" t="s">
        <v>5</v>
      </c>
      <c r="P18" s="12">
        <f>IF($Q$14-P17-P16&gt;$P$7-$N$7,$P$7-$N$7,$Q$14-P17-P16)</f>
        <v>0</v>
      </c>
      <c r="Q18" s="12">
        <f>P18*$O$8*$Q$3</f>
        <v>0</v>
      </c>
      <c r="R18" s="13">
        <f>P18*$O$8</f>
        <v>0</v>
      </c>
      <c r="S18" s="12"/>
      <c r="U18" s="11" t="s">
        <v>5</v>
      </c>
      <c r="V18" s="12">
        <f>IF($W$14-V17-V16&lt;$P$7-$N$7,$W$14-V17-V16,$P$7-$N$7)</f>
        <v>0</v>
      </c>
      <c r="W18" s="12">
        <f>V18*$O$7*$Q$3</f>
        <v>0</v>
      </c>
      <c r="X18" s="13">
        <f>V18*$O$7</f>
        <v>0</v>
      </c>
      <c r="AA18" s="11" t="s">
        <v>5</v>
      </c>
      <c r="AB18" s="12">
        <f>IF($AC$14-AB17-AB16&gt;$P$7-$N$7,$P$7-$N$7,$AC$14-AB17-AB16)</f>
        <v>0</v>
      </c>
      <c r="AC18" s="12">
        <f>AB18*$O$8*$Q$3</f>
        <v>0</v>
      </c>
      <c r="AD18" s="13">
        <f>AB18*$O$8</f>
        <v>0</v>
      </c>
      <c r="AE18" s="12"/>
    </row>
    <row r="19" spans="1:31" s="163" customFormat="1" hidden="1" x14ac:dyDescent="0.3">
      <c r="A19" s="266"/>
      <c r="B19" s="264"/>
      <c r="C19" s="265"/>
      <c r="D19" s="259"/>
      <c r="E19" s="1"/>
      <c r="F19" s="1"/>
      <c r="G19" s="259"/>
      <c r="J19" s="441" t="s">
        <v>14</v>
      </c>
      <c r="K19" s="443">
        <f>MAX($L$14-SUM(K16:K18),0)</f>
        <v>0</v>
      </c>
      <c r="L19" s="443">
        <v>0</v>
      </c>
      <c r="M19" s="439">
        <v>0</v>
      </c>
      <c r="O19" s="441" t="s">
        <v>14</v>
      </c>
      <c r="P19" s="443">
        <f>MAX($Q$14-SUM(P16:P18),0)</f>
        <v>0</v>
      </c>
      <c r="Q19" s="443">
        <v>0</v>
      </c>
      <c r="R19" s="439">
        <v>0</v>
      </c>
      <c r="S19" s="262"/>
      <c r="U19" s="441" t="s">
        <v>14</v>
      </c>
      <c r="V19" s="443">
        <f>MAX($L$14-SUM(V16:V18),0)</f>
        <v>0</v>
      </c>
      <c r="W19" s="443">
        <v>0</v>
      </c>
      <c r="X19" s="439">
        <v>0</v>
      </c>
      <c r="AA19" s="441" t="s">
        <v>14</v>
      </c>
      <c r="AB19" s="443">
        <f>MAX($Q$14-SUM(AB16:AB18),0)</f>
        <v>0</v>
      </c>
      <c r="AC19" s="443">
        <v>0</v>
      </c>
      <c r="AD19" s="439">
        <v>0</v>
      </c>
      <c r="AE19" s="262"/>
    </row>
    <row r="20" spans="1:31" s="163" customFormat="1" hidden="1" x14ac:dyDescent="0.3">
      <c r="A20" s="264"/>
      <c r="B20" s="263"/>
      <c r="C20" s="241"/>
      <c r="D20" s="259"/>
      <c r="E20" s="1"/>
      <c r="F20" s="1"/>
      <c r="G20" s="259"/>
      <c r="J20" s="442"/>
      <c r="K20" s="444"/>
      <c r="L20" s="444"/>
      <c r="M20" s="440"/>
      <c r="O20" s="442"/>
      <c r="P20" s="444"/>
      <c r="Q20" s="444"/>
      <c r="R20" s="440"/>
      <c r="S20" s="262"/>
      <c r="U20" s="442"/>
      <c r="V20" s="444"/>
      <c r="W20" s="444"/>
      <c r="X20" s="440"/>
      <c r="AA20" s="442"/>
      <c r="AB20" s="444"/>
      <c r="AC20" s="444"/>
      <c r="AD20" s="440"/>
      <c r="AE20" s="262"/>
    </row>
    <row r="21" spans="1:31" hidden="1" x14ac:dyDescent="0.3">
      <c r="A21" s="261"/>
      <c r="B21" s="261"/>
      <c r="C21" s="260"/>
      <c r="D21" s="259"/>
      <c r="G21" s="259"/>
    </row>
    <row r="22" spans="1:31" ht="15" hidden="1" thickBot="1" x14ac:dyDescent="0.35">
      <c r="A22" s="219" t="s">
        <v>132</v>
      </c>
      <c r="B22" s="258"/>
      <c r="C22" s="241"/>
      <c r="D22" s="241"/>
      <c r="G22" s="78"/>
      <c r="J22" s="46" t="s">
        <v>37</v>
      </c>
      <c r="K22" s="46"/>
      <c r="L22" s="47"/>
      <c r="M22" s="47"/>
      <c r="N22" s="47"/>
      <c r="O22" s="47"/>
      <c r="P22" s="47"/>
      <c r="Q22" s="47"/>
      <c r="R22" s="47"/>
      <c r="S22" s="47"/>
      <c r="U22" s="46" t="s">
        <v>68</v>
      </c>
    </row>
    <row r="23" spans="1:31" ht="15" hidden="1" thickBot="1" x14ac:dyDescent="0.35">
      <c r="A23" s="432" t="s">
        <v>62</v>
      </c>
      <c r="B23" s="438"/>
      <c r="C23" s="257">
        <f>RSP</f>
        <v>100</v>
      </c>
      <c r="D23" s="241"/>
      <c r="E23" s="436" t="str">
        <f>IF(AND(ISERROR(SEARCH(".",RSP)),ISERROR(SEARCH(".",INT))),IF(OR(NOT(ISNUMBER(RSP)),NOT(ISNUMBER(INT))),"Les montants saisis doivent être des nombres.",""),"Le séparateur de décimales doit être une virgule.")</f>
        <v/>
      </c>
      <c r="F23" s="436"/>
      <c r="G23" s="78"/>
      <c r="J23" s="415" t="s">
        <v>47</v>
      </c>
      <c r="K23" s="416"/>
      <c r="L23" s="416"/>
      <c r="M23" s="417"/>
      <c r="O23" s="415" t="s">
        <v>7</v>
      </c>
      <c r="P23" s="416"/>
      <c r="Q23" s="416"/>
      <c r="R23" s="417"/>
      <c r="S23" s="160"/>
      <c r="U23" s="415" t="s">
        <v>131</v>
      </c>
      <c r="V23" s="416"/>
      <c r="W23" s="416"/>
      <c r="X23" s="417"/>
    </row>
    <row r="24" spans="1:31" hidden="1" x14ac:dyDescent="0.3">
      <c r="A24" s="432" t="s">
        <v>130</v>
      </c>
      <c r="B24" s="438"/>
      <c r="C24" s="257">
        <f>INT</f>
        <v>1000</v>
      </c>
      <c r="D24" s="241"/>
      <c r="E24" s="436"/>
      <c r="F24" s="436"/>
      <c r="G24" s="78"/>
      <c r="J24" s="15" t="s">
        <v>15</v>
      </c>
      <c r="L24" s="2">
        <f>C23*C27+C24*C31+C35</f>
        <v>100</v>
      </c>
      <c r="O24" s="15" t="s">
        <v>15</v>
      </c>
      <c r="Q24" s="2">
        <f>C23*C28+C24*C32</f>
        <v>1000</v>
      </c>
      <c r="U24" s="15" t="s">
        <v>69</v>
      </c>
      <c r="V24" s="22">
        <f>$D$48</f>
        <v>200</v>
      </c>
      <c r="W24" s="2" t="s">
        <v>70</v>
      </c>
      <c r="X24" s="192">
        <f>K65</f>
        <v>1220.0029999999997</v>
      </c>
    </row>
    <row r="25" spans="1:31" s="163" customFormat="1" hidden="1" x14ac:dyDescent="0.3">
      <c r="A25" s="244"/>
      <c r="B25" s="256"/>
      <c r="C25" s="244"/>
      <c r="D25" s="241"/>
      <c r="E25" s="1"/>
      <c r="F25" s="1"/>
      <c r="G25" s="255"/>
      <c r="J25" s="254"/>
      <c r="K25" s="253" t="s">
        <v>8</v>
      </c>
      <c r="L25" s="253" t="s">
        <v>9</v>
      </c>
      <c r="M25" s="251" t="s">
        <v>10</v>
      </c>
      <c r="O25" s="254"/>
      <c r="P25" s="253" t="s">
        <v>11</v>
      </c>
      <c r="Q25" s="252" t="s">
        <v>12</v>
      </c>
      <c r="R25" s="251" t="s">
        <v>13</v>
      </c>
      <c r="S25" s="247"/>
      <c r="U25" s="250"/>
      <c r="V25" s="249" t="s">
        <v>71</v>
      </c>
      <c r="W25" s="249" t="s">
        <v>72</v>
      </c>
      <c r="X25" s="249" t="s">
        <v>73</v>
      </c>
      <c r="Y25" s="248" t="s">
        <v>74</v>
      </c>
      <c r="Z25" s="247"/>
    </row>
    <row r="26" spans="1:31" hidden="1" x14ac:dyDescent="0.3">
      <c r="A26" s="246"/>
      <c r="B26" s="245" t="s">
        <v>60</v>
      </c>
      <c r="C26" s="244"/>
      <c r="D26" s="241"/>
      <c r="G26" s="78"/>
      <c r="J26" s="25" t="s">
        <v>2</v>
      </c>
      <c r="K26" s="26">
        <f>IF(K16=0,MIN($L$7,$L$24),IF($L$24&lt;$L$7-K16,$L$24,$L$7-K16))</f>
        <v>100</v>
      </c>
      <c r="L26" s="26">
        <f>K26*$K$7*$Q$3</f>
        <v>180.6</v>
      </c>
      <c r="M26" s="27">
        <f>K26*$K$7</f>
        <v>200</v>
      </c>
      <c r="O26" s="25" t="s">
        <v>2</v>
      </c>
      <c r="P26" s="26">
        <f>IF(P16=0,IF($Q$24&lt;$L$8,$Q$24,$L$8),IF($Q$24&lt;$L$8-P16,$Q$24,$L$8-P16))</f>
        <v>200</v>
      </c>
      <c r="Q26" s="26">
        <f>P26*$K$8*$Q$3</f>
        <v>270.90000000000003</v>
      </c>
      <c r="R26" s="27">
        <f>P26*$K$8</f>
        <v>300</v>
      </c>
      <c r="S26" s="12"/>
      <c r="U26" s="11" t="s">
        <v>2</v>
      </c>
      <c r="V26" s="12">
        <f>'POLITIQUE D''ABONDEMENT SGPM'!$F$5</f>
        <v>400</v>
      </c>
      <c r="W26" s="12">
        <f>MAX(V26-V24,0)</f>
        <v>200</v>
      </c>
      <c r="X26" s="12">
        <f>MIN(W26,X24)</f>
        <v>200</v>
      </c>
      <c r="Y26" s="221">
        <f>X26/'POLITIQUE D''ABONDEMENT SGPM'!D5</f>
        <v>100</v>
      </c>
      <c r="Z26" s="220"/>
    </row>
    <row r="27" spans="1:31" hidden="1" x14ac:dyDescent="0.3">
      <c r="B27" s="235" t="s">
        <v>129</v>
      </c>
      <c r="C27" s="237">
        <f>AK_PART</f>
        <v>1</v>
      </c>
      <c r="D27" s="236">
        <f>AK_PART*$C$23</f>
        <v>100</v>
      </c>
      <c r="E27" s="437" t="str">
        <f>IF(AND(ISERROR(SEARCH(".",DIV_PART)),ISERROR(SEARCH(".",AK_PART)),ISERROR(SEARCH(".",CPT_PART))),IF(OR(NOT(ISNUMBER(DIV_PART)),NOT(ISNUMBER(AK_PART)),NOT(ISNUMBER(CPT_PART))),"Les montants saisis doivent être des nombres.",IF(AK_PART+DIV_PART+CPT_PART&lt;&gt;100%,"La somme des pourcentage doit être égale à 100%.","")),"Le séparateur de décimales doit être une virgule.")</f>
        <v/>
      </c>
      <c r="F27" s="436"/>
      <c r="G27" s="78"/>
      <c r="J27" s="30" t="s">
        <v>3</v>
      </c>
      <c r="K27" s="31">
        <f>IF(K17=0,IF($L$24-K26&lt;$N$7-$L$7,$L$24-K26,$N$7-$L$7),IF($L$24-K26&lt;$N$7-$L$7-K17,$L$24-K26,$N$7-$L$7-K17))</f>
        <v>0</v>
      </c>
      <c r="L27" s="31">
        <f>K27*$M$7*$Q$3</f>
        <v>0</v>
      </c>
      <c r="M27" s="32">
        <f>K27*$M$7</f>
        <v>0</v>
      </c>
      <c r="O27" s="30" t="s">
        <v>3</v>
      </c>
      <c r="P27" s="31">
        <f>IF(P17=0,IF($Q$24-P26&lt;$N$8-$L$8,$Q$24-P26,$N$8-$L$8),IF($Q$24-P26&lt;$N$8-$L$8-P17,$Q$24-P26,$N$8-$L$8-P17))</f>
        <v>800</v>
      </c>
      <c r="Q27" s="31">
        <f>P27*$M$8*$Q$3</f>
        <v>433.44</v>
      </c>
      <c r="R27" s="32">
        <f>P27*$M$8</f>
        <v>480</v>
      </c>
      <c r="S27" s="12"/>
      <c r="U27" s="11" t="s">
        <v>3</v>
      </c>
      <c r="V27" s="12">
        <f>'POLITIQUE D''ABONDEMENT SGPM'!$F$6</f>
        <v>480</v>
      </c>
      <c r="W27" s="12">
        <f>MIN(MAX(V27-(V24-V26),0),V27)</f>
        <v>480</v>
      </c>
      <c r="X27" s="12">
        <f>MIN(W27,X24-X26)</f>
        <v>480</v>
      </c>
      <c r="Y27" s="221">
        <f>X27/'POLITIQUE D''ABONDEMENT SGPM'!D6</f>
        <v>800</v>
      </c>
      <c r="Z27" s="220"/>
    </row>
    <row r="28" spans="1:31" hidden="1" x14ac:dyDescent="0.3">
      <c r="B28" s="235" t="s">
        <v>128</v>
      </c>
      <c r="C28" s="237">
        <f>DIV_PART</f>
        <v>0</v>
      </c>
      <c r="D28" s="236">
        <f>DIV_PART*$C$23</f>
        <v>0</v>
      </c>
      <c r="E28" s="437"/>
      <c r="F28" s="436"/>
      <c r="G28" s="78"/>
      <c r="J28" s="33" t="s">
        <v>5</v>
      </c>
      <c r="K28" s="34">
        <f>IF(K18=0,MIN($P$7-$N$7,MAX(0,$L$24-K27-K26)),IF($L$24-K26-K27&lt;$P$7-$N$7-K18,$L$24-K27-K26,$P$7-$N$7-K18))</f>
        <v>0</v>
      </c>
      <c r="L28" s="34">
        <f>K28*$O$7*$Q$3</f>
        <v>0</v>
      </c>
      <c r="M28" s="35">
        <f>K28*$O$7</f>
        <v>0</v>
      </c>
      <c r="O28" s="33" t="s">
        <v>5</v>
      </c>
      <c r="P28" s="34">
        <f>IF(P18=0,IF(Q24-P27-P26&lt;$P$8-$N$8,Q24-P27-P26,$P$8-$N$8),IF(Q24-P27-P26&lt;$P$7-$N$7-P18,Q24-P27-P26,$P$7-$N$7-P18))</f>
        <v>0</v>
      </c>
      <c r="Q28" s="34">
        <f>P28*$O$8*$Q$3</f>
        <v>0</v>
      </c>
      <c r="R28" s="35">
        <f>P28*$O$8</f>
        <v>0</v>
      </c>
      <c r="S28" s="12"/>
      <c r="U28" s="11" t="s">
        <v>5</v>
      </c>
      <c r="V28" s="12">
        <f>'POLITIQUE D''ABONDEMENT SGPM'!$F$7</f>
        <v>1320.0029999999999</v>
      </c>
      <c r="W28" s="220">
        <f>MIN(MAX(V28-(V24-V26-V27),0),V28)</f>
        <v>1320.0029999999999</v>
      </c>
      <c r="X28" s="220">
        <f>MIN(W28,X24-X26-X27)</f>
        <v>540.0029999999997</v>
      </c>
      <c r="Y28" s="221">
        <f>X28/'POLITIQUE D''ABONDEMENT SGPM'!D7</f>
        <v>1200.006666666666</v>
      </c>
      <c r="Z28" s="220"/>
    </row>
    <row r="29" spans="1:31" hidden="1" x14ac:dyDescent="0.3">
      <c r="B29" s="235" t="s">
        <v>127</v>
      </c>
      <c r="C29" s="237">
        <f>CPT_PART</f>
        <v>0</v>
      </c>
      <c r="D29" s="236">
        <f>CPT_PART*$C$23</f>
        <v>0</v>
      </c>
      <c r="E29" s="223"/>
      <c r="F29" s="223"/>
      <c r="G29" s="78"/>
      <c r="J29" s="25"/>
      <c r="K29" s="26"/>
      <c r="L29" s="26"/>
      <c r="M29" s="27"/>
      <c r="O29" s="25"/>
      <c r="P29" s="26"/>
      <c r="Q29" s="26"/>
      <c r="R29" s="27"/>
      <c r="S29" s="12"/>
      <c r="U29" s="11"/>
      <c r="V29" s="12"/>
      <c r="W29" s="12"/>
      <c r="X29" s="12"/>
      <c r="Y29" s="221"/>
      <c r="Z29" s="220"/>
    </row>
    <row r="30" spans="1:31" hidden="1" x14ac:dyDescent="0.3">
      <c r="A30" s="243"/>
      <c r="B30" s="242"/>
      <c r="C30" s="68"/>
      <c r="D30" s="241"/>
      <c r="G30" s="78"/>
      <c r="J30" s="154" t="s">
        <v>14</v>
      </c>
      <c r="K30" s="28">
        <f>MAX($L$24-SUM(K26:K28),0)</f>
        <v>0</v>
      </c>
      <c r="L30" s="28">
        <v>0</v>
      </c>
      <c r="M30" s="29">
        <v>0</v>
      </c>
      <c r="O30" s="154" t="s">
        <v>14</v>
      </c>
      <c r="P30" s="28">
        <f>MAX($Q$24-SUM(P26:P28),0)</f>
        <v>0</v>
      </c>
      <c r="Q30" s="28">
        <v>0</v>
      </c>
      <c r="R30" s="29">
        <v>0</v>
      </c>
      <c r="S30" s="12"/>
      <c r="U30" s="418" t="s">
        <v>14</v>
      </c>
      <c r="V30" s="394"/>
      <c r="W30" s="394"/>
      <c r="X30" s="394"/>
      <c r="Y30" s="240"/>
      <c r="Z30" s="238"/>
    </row>
    <row r="31" spans="1:31" ht="15" hidden="1" thickBot="1" x14ac:dyDescent="0.35">
      <c r="B31" s="235" t="s">
        <v>126</v>
      </c>
      <c r="C31" s="237">
        <f>AK_INT</f>
        <v>0</v>
      </c>
      <c r="D31" s="236">
        <f>AK_INT*C24</f>
        <v>0</v>
      </c>
      <c r="E31" s="437" t="str">
        <f>IF(AND(ISERROR(SEARCH(".",DIV_INT)),ISERROR(SEARCH(".",AK_INT)),ISERROR(SEARCH(".",CPT_INT))),IF(OR(NOT(ISNUMBER(DIV_INT)),NOT(ISNUMBER(AK_INT)),NOT(ISNUMBER(CPT_INT))),"Les montants saisis doivent être des nombres.",IF(AK_INT+DIV_INT+CPT_INT&lt;&gt;100%,"La somme des pourcentage doit être égale à 100%.","")),"Le séparateur de décimales doit être une virgule.")</f>
        <v/>
      </c>
      <c r="F31" s="436"/>
      <c r="G31" s="78"/>
      <c r="K31" s="153">
        <f>SUM(K26:K30)</f>
        <v>100</v>
      </c>
      <c r="L31" s="153">
        <f>SUM(L26:L30)</f>
        <v>180.6</v>
      </c>
      <c r="M31" s="153">
        <f>SUM(M26:M30)</f>
        <v>200</v>
      </c>
      <c r="P31" s="153">
        <f>SUM(P26:P30)</f>
        <v>1000</v>
      </c>
      <c r="Q31" s="153">
        <f>SUM(Q26:Q30)</f>
        <v>704.34</v>
      </c>
      <c r="R31" s="153">
        <f>SUM(R26:R30)</f>
        <v>780</v>
      </c>
      <c r="S31" s="153"/>
      <c r="U31" s="419"/>
      <c r="V31" s="395"/>
      <c r="W31" s="395"/>
      <c r="X31" s="395"/>
      <c r="Y31" s="239"/>
      <c r="Z31" s="238"/>
    </row>
    <row r="32" spans="1:31" ht="15" hidden="1" thickBot="1" x14ac:dyDescent="0.35">
      <c r="B32" s="235" t="s">
        <v>125</v>
      </c>
      <c r="C32" s="237">
        <f>DIV_INT</f>
        <v>1</v>
      </c>
      <c r="D32" s="236">
        <f>DIV_INT*C24</f>
        <v>1000</v>
      </c>
      <c r="E32" s="437"/>
      <c r="F32" s="436"/>
      <c r="G32" s="78"/>
      <c r="U32" s="415" t="s">
        <v>124</v>
      </c>
      <c r="V32" s="416"/>
      <c r="W32" s="416"/>
      <c r="X32" s="417"/>
      <c r="Y32" s="228"/>
      <c r="Z32" s="228"/>
      <c r="AA32" s="415" t="s">
        <v>123</v>
      </c>
      <c r="AB32" s="416"/>
      <c r="AC32" s="416"/>
      <c r="AD32" s="417"/>
    </row>
    <row r="33" spans="1:31" hidden="1" x14ac:dyDescent="0.3">
      <c r="B33" s="235" t="s">
        <v>122</v>
      </c>
      <c r="C33" s="237">
        <f>CPT_INT</f>
        <v>0</v>
      </c>
      <c r="D33" s="236">
        <f>CPT_INT*C24</f>
        <v>0</v>
      </c>
      <c r="E33" s="223"/>
      <c r="F33" s="223"/>
      <c r="G33" s="78"/>
      <c r="U33" s="160"/>
      <c r="V33" s="160"/>
      <c r="W33" s="160"/>
      <c r="X33" s="160"/>
      <c r="Y33" s="228"/>
      <c r="Z33" s="228"/>
      <c r="AA33" s="160"/>
      <c r="AB33" s="160"/>
      <c r="AC33" s="160"/>
      <c r="AD33" s="160"/>
    </row>
    <row r="34" spans="1:31" hidden="1" x14ac:dyDescent="0.3">
      <c r="B34" s="200"/>
      <c r="C34" s="68"/>
      <c r="D34" s="225"/>
      <c r="G34" s="78"/>
      <c r="U34" s="15" t="s">
        <v>69</v>
      </c>
      <c r="V34" s="22">
        <f>D48</f>
        <v>200</v>
      </c>
      <c r="W34" s="2" t="s">
        <v>70</v>
      </c>
      <c r="X34" s="220">
        <f>D64</f>
        <v>951.2034199999996</v>
      </c>
      <c r="Y34" s="228"/>
      <c r="Z34" s="228"/>
      <c r="AA34" s="15" t="s">
        <v>69</v>
      </c>
      <c r="AB34" s="22">
        <f>D49</f>
        <v>780</v>
      </c>
      <c r="AC34" s="2" t="s">
        <v>70</v>
      </c>
      <c r="AD34" s="22">
        <f>D65</f>
        <v>268.79958000000011</v>
      </c>
    </row>
    <row r="35" spans="1:31" s="228" customFormat="1" hidden="1" x14ac:dyDescent="0.3">
      <c r="A35" s="1"/>
      <c r="B35" s="235" t="s">
        <v>121</v>
      </c>
      <c r="C35" s="234">
        <f>AK_VV</f>
        <v>0</v>
      </c>
      <c r="D35" s="225"/>
      <c r="E35" s="436"/>
      <c r="F35" s="436"/>
      <c r="G35" s="436" t="s">
        <v>120</v>
      </c>
      <c r="H35" s="436"/>
      <c r="U35" s="232"/>
      <c r="V35" s="231" t="s">
        <v>71</v>
      </c>
      <c r="W35" s="231" t="s">
        <v>72</v>
      </c>
      <c r="X35" s="231" t="s">
        <v>73</v>
      </c>
      <c r="Y35" s="230" t="s">
        <v>74</v>
      </c>
      <c r="Z35" s="233"/>
      <c r="AA35" s="232"/>
      <c r="AB35" s="231" t="s">
        <v>71</v>
      </c>
      <c r="AC35" s="231" t="s">
        <v>72</v>
      </c>
      <c r="AD35" s="231" t="s">
        <v>73</v>
      </c>
      <c r="AE35" s="230" t="s">
        <v>74</v>
      </c>
    </row>
    <row r="36" spans="1:31" s="228" customFormat="1" hidden="1" x14ac:dyDescent="0.3">
      <c r="A36" s="1"/>
      <c r="B36" s="200"/>
      <c r="C36" s="68"/>
      <c r="D36" s="225"/>
      <c r="E36" s="436"/>
      <c r="F36" s="436"/>
      <c r="G36" s="436"/>
      <c r="H36" s="436"/>
      <c r="U36" s="229" t="s">
        <v>2</v>
      </c>
      <c r="V36" s="220">
        <f>'POLITIQUE D''ABONDEMENT SGPM'!F5</f>
        <v>400</v>
      </c>
      <c r="W36" s="220">
        <f>MAX(V36-V34,0)</f>
        <v>200</v>
      </c>
      <c r="X36" s="220">
        <f>MIN(W36,X34)</f>
        <v>200</v>
      </c>
      <c r="Y36" s="221">
        <f>X36/'POLITIQUE D''ABONDEMENT SGPM'!D5</f>
        <v>100</v>
      </c>
      <c r="Z36" s="220"/>
      <c r="AA36" s="229" t="s">
        <v>2</v>
      </c>
      <c r="AB36" s="220">
        <f>'POLITIQUE D''ABONDEMENT SGPM'!L5</f>
        <v>300</v>
      </c>
      <c r="AC36" s="220">
        <f>MAX(AB36-AB34,0)</f>
        <v>0</v>
      </c>
      <c r="AD36" s="220">
        <f>MIN(AC36,AD34)</f>
        <v>0</v>
      </c>
      <c r="AE36" s="221">
        <f>AD36/'POLITIQUE D''ABONDEMENT SGPM'!J5</f>
        <v>0</v>
      </c>
    </row>
    <row r="37" spans="1:31" ht="28.8" hidden="1" x14ac:dyDescent="0.3">
      <c r="B37" s="227" t="s">
        <v>79</v>
      </c>
      <c r="C37" s="226">
        <f>'Simuler mon abondement SGPM'!C49</f>
        <v>2100</v>
      </c>
      <c r="D37" s="225"/>
      <c r="E37" s="224"/>
      <c r="F37" s="223"/>
      <c r="G37" s="78"/>
      <c r="U37" s="11" t="s">
        <v>3</v>
      </c>
      <c r="V37" s="12">
        <f>'POLITIQUE D''ABONDEMENT SGPM'!F6</f>
        <v>480</v>
      </c>
      <c r="W37" s="12">
        <f>MIN(MAX(V37-(V34-V36),0),V37)</f>
        <v>480</v>
      </c>
      <c r="X37" s="12">
        <f>MIN(W37,X34-X36)</f>
        <v>480</v>
      </c>
      <c r="Y37" s="221">
        <f>X37/'POLITIQUE D''ABONDEMENT SGPM'!D6</f>
        <v>800</v>
      </c>
      <c r="Z37" s="220"/>
      <c r="AA37" s="11" t="s">
        <v>3</v>
      </c>
      <c r="AB37" s="12">
        <f>'POLITIQUE D''ABONDEMENT SGPM'!L6</f>
        <v>480</v>
      </c>
      <c r="AC37" s="12">
        <f>MIN(MAX(AB37-(AB34-AB36),0),AB37)</f>
        <v>0</v>
      </c>
      <c r="AD37" s="12">
        <f>MIN(AC37,AD34-AD36)</f>
        <v>0</v>
      </c>
      <c r="AE37" s="13">
        <f>AD37/'POLITIQUE D''ABONDEMENT SGPM'!J6</f>
        <v>0</v>
      </c>
    </row>
    <row r="38" spans="1:31" ht="15" hidden="1" thickBot="1" x14ac:dyDescent="0.35">
      <c r="B38" s="222"/>
      <c r="C38" s="222"/>
      <c r="D38" s="222"/>
      <c r="G38" s="78"/>
      <c r="J38" s="46" t="s">
        <v>36</v>
      </c>
      <c r="K38" s="46"/>
      <c r="L38" s="47"/>
      <c r="M38" s="47"/>
      <c r="N38" s="47"/>
      <c r="O38" s="47"/>
      <c r="P38" s="47"/>
      <c r="Q38" s="47"/>
      <c r="R38" s="47"/>
      <c r="S38" s="47"/>
      <c r="U38" s="11" t="s">
        <v>5</v>
      </c>
      <c r="V38" s="12">
        <f>'POLITIQUE D''ABONDEMENT SGPM'!F7</f>
        <v>1320.0029999999999</v>
      </c>
      <c r="W38" s="220">
        <f>MIN(MAX(V38-(V34-V36-V37),0),V38)</f>
        <v>1320.0029999999999</v>
      </c>
      <c r="X38" s="220">
        <f>MIN(W38,X34-X36-X37)</f>
        <v>271.2034199999996</v>
      </c>
      <c r="Y38" s="221">
        <f>X38/'POLITIQUE D''ABONDEMENT SGPM'!D7</f>
        <v>602.67426666666574</v>
      </c>
      <c r="Z38" s="220"/>
      <c r="AA38" s="11" t="s">
        <v>5</v>
      </c>
      <c r="AB38" s="12">
        <f>'POLITIQUE D''ABONDEMENT SGPM'!L7</f>
        <v>319.99950000000007</v>
      </c>
      <c r="AC38" s="12">
        <f>MIN(MAX(AB38-(AB34-AB36-AB37),0),AB38)</f>
        <v>319.99950000000007</v>
      </c>
      <c r="AD38" s="12">
        <f>MIN(AC38,AD34-AD36-AD37)</f>
        <v>268.79958000000011</v>
      </c>
      <c r="AE38" s="13">
        <f>AD38/'POLITIQUE D''ABONDEMENT SGPM'!J7</f>
        <v>597.33240000000023</v>
      </c>
    </row>
    <row r="39" spans="1:31" ht="15" hidden="1" thickBot="1" x14ac:dyDescent="0.35">
      <c r="A39" s="219" t="s">
        <v>119</v>
      </c>
      <c r="D39" s="176" t="s">
        <v>44</v>
      </c>
      <c r="E39" s="176" t="s">
        <v>45</v>
      </c>
      <c r="F39" s="161"/>
      <c r="G39" s="78"/>
      <c r="J39" s="415" t="s">
        <v>47</v>
      </c>
      <c r="K39" s="416"/>
      <c r="L39" s="416"/>
      <c r="M39" s="417"/>
      <c r="O39" s="415" t="s">
        <v>7</v>
      </c>
      <c r="P39" s="416"/>
      <c r="Q39" s="416"/>
      <c r="R39" s="417"/>
      <c r="S39" s="160"/>
      <c r="U39" s="418" t="s">
        <v>14</v>
      </c>
      <c r="V39" s="394"/>
      <c r="W39" s="394"/>
      <c r="X39" s="394"/>
      <c r="Y39" s="129"/>
      <c r="Z39" s="119"/>
      <c r="AA39" s="418" t="s">
        <v>14</v>
      </c>
      <c r="AB39" s="394"/>
      <c r="AC39" s="394"/>
      <c r="AD39" s="394"/>
      <c r="AE39" s="129"/>
    </row>
    <row r="40" spans="1:31" hidden="1" x14ac:dyDescent="0.3">
      <c r="A40" s="432" t="s">
        <v>118</v>
      </c>
      <c r="B40" s="432"/>
      <c r="C40" s="432"/>
      <c r="D40" s="204">
        <f>'Simuler mon abondement SGPM'!C52</f>
        <v>200</v>
      </c>
      <c r="E40" s="204">
        <f>'Simuler mon abondement SGPM'!D52</f>
        <v>180.6</v>
      </c>
      <c r="F40" s="161"/>
      <c r="G40" s="78"/>
      <c r="J40" s="15" t="s">
        <v>15</v>
      </c>
      <c r="L40" s="2">
        <f>C23*C27+C24*C31</f>
        <v>100</v>
      </c>
      <c r="O40" s="15" t="s">
        <v>15</v>
      </c>
      <c r="Q40" s="2">
        <f>C23*C28+C24*C32</f>
        <v>1000</v>
      </c>
      <c r="U40" s="419"/>
      <c r="V40" s="395"/>
      <c r="W40" s="395"/>
      <c r="X40" s="395"/>
      <c r="Y40" s="130"/>
      <c r="Z40" s="143"/>
      <c r="AA40" s="419"/>
      <c r="AB40" s="395"/>
      <c r="AC40" s="395"/>
      <c r="AD40" s="395"/>
      <c r="AE40" s="130"/>
    </row>
    <row r="41" spans="1:31" hidden="1" x14ac:dyDescent="0.3">
      <c r="A41" s="432" t="s">
        <v>117</v>
      </c>
      <c r="B41" s="432"/>
      <c r="C41" s="432"/>
      <c r="D41" s="204">
        <f>'Simuler mon abondement SGPM'!C53</f>
        <v>780</v>
      </c>
      <c r="E41" s="204">
        <f>'Simuler mon abondement SGPM'!D53</f>
        <v>704.34</v>
      </c>
      <c r="F41" s="161"/>
      <c r="G41" s="78"/>
      <c r="J41" s="158"/>
      <c r="K41" s="24" t="s">
        <v>8</v>
      </c>
      <c r="L41" s="24" t="s">
        <v>9</v>
      </c>
      <c r="M41" s="156" t="s">
        <v>10</v>
      </c>
      <c r="O41" s="158"/>
      <c r="P41" s="24" t="s">
        <v>11</v>
      </c>
      <c r="Q41" s="157" t="s">
        <v>12</v>
      </c>
      <c r="R41" s="156" t="s">
        <v>13</v>
      </c>
      <c r="S41" s="155"/>
    </row>
    <row r="42" spans="1:31" hidden="1" x14ac:dyDescent="0.3">
      <c r="A42" s="67"/>
      <c r="B42" s="67"/>
      <c r="F42" s="161"/>
      <c r="G42" s="78"/>
      <c r="J42" s="25" t="s">
        <v>2</v>
      </c>
      <c r="K42" s="26">
        <f>IF(K16=0,MIN($L$7,$L$40),IF($L$40&lt;$L$7-K16,$L$40,$L$7-K16))</f>
        <v>100</v>
      </c>
      <c r="L42" s="26">
        <f>K42*$K$7*$Q$3</f>
        <v>180.6</v>
      </c>
      <c r="M42" s="27">
        <f>K42*$K$7</f>
        <v>200</v>
      </c>
      <c r="O42" s="25" t="s">
        <v>2</v>
      </c>
      <c r="P42" s="26">
        <f>IF(P16=0,IF($Q$40&lt;$L$8,$Q$40,$L$8),IF($Q$40&lt;$L$8-P16,$Q$40,$L$8-P16))</f>
        <v>200</v>
      </c>
      <c r="Q42" s="26">
        <f>P42*$K$8*$Q$3</f>
        <v>270.90000000000003</v>
      </c>
      <c r="R42" s="27">
        <f>P42*$K$8</f>
        <v>300</v>
      </c>
      <c r="S42" s="12"/>
    </row>
    <row r="43" spans="1:31" ht="57.6" hidden="1" x14ac:dyDescent="0.3">
      <c r="A43" s="432" t="s">
        <v>116</v>
      </c>
      <c r="B43" s="432"/>
      <c r="C43" s="432"/>
      <c r="D43" s="300">
        <f>'Simuler mon abondement SGPM'!C55</f>
        <v>980</v>
      </c>
      <c r="E43" s="300">
        <f>'Simuler mon abondement SGPM'!D55</f>
        <v>884.94</v>
      </c>
      <c r="F43" s="161"/>
      <c r="G43" s="78"/>
      <c r="J43" s="30" t="s">
        <v>3</v>
      </c>
      <c r="K43" s="31">
        <f>IF(K17=0,IF($L$40-K42&lt;$N$7-$L$7,$L$40-K42,$N$7-$L$7),IF($L$40-K42&lt;$N$7-$L$7-K17,$L$40-K42,$N$7-$L$7-K17))</f>
        <v>0</v>
      </c>
      <c r="L43" s="31">
        <f>K43*$M$7*$Q$3</f>
        <v>0</v>
      </c>
      <c r="M43" s="32">
        <f>K43*$M$7</f>
        <v>0</v>
      </c>
      <c r="O43" s="30" t="s">
        <v>3</v>
      </c>
      <c r="P43" s="31">
        <f>IF(P17=0,IF($Q$40-P42&lt;$N$8-$L$8,$Q$40-P42,$N$8-$L$8),IF($Q$40-P42&lt;$N$8-$L$8-P17,$Q$40-P42,$N$8-$L$8-P17))</f>
        <v>800</v>
      </c>
      <c r="Q43" s="31">
        <f>P43*$M$8*$Q$3</f>
        <v>433.44</v>
      </c>
      <c r="R43" s="32">
        <f>P43*$M$8</f>
        <v>480</v>
      </c>
      <c r="S43" s="12"/>
      <c r="U43" s="48"/>
      <c r="V43" s="69" t="s">
        <v>40</v>
      </c>
      <c r="W43" s="69" t="s">
        <v>41</v>
      </c>
      <c r="X43" s="69" t="s">
        <v>42</v>
      </c>
      <c r="Y43" s="69" t="s">
        <v>38</v>
      </c>
      <c r="Z43" s="69"/>
      <c r="AA43" s="70" t="s">
        <v>39</v>
      </c>
    </row>
    <row r="44" spans="1:31" s="163" customFormat="1" hidden="1" x14ac:dyDescent="0.3">
      <c r="A44" s="91"/>
      <c r="B44" s="91"/>
      <c r="C44" s="79"/>
      <c r="D44" s="79"/>
      <c r="E44" s="79"/>
      <c r="F44" s="161"/>
      <c r="G44" s="78"/>
      <c r="J44" s="218" t="s">
        <v>5</v>
      </c>
      <c r="K44" s="217">
        <f>IF(K18=0,MIN($P$7-$N$7,MAX(0,$L$40-K43-K42)),IF($L$40-K42-K43&lt;$P$7-$N$7-K18,$L$40-K43-K42,$P$7-$N$7-K18))</f>
        <v>0</v>
      </c>
      <c r="L44" s="217">
        <f>K44*$O$7*$Q$3</f>
        <v>0</v>
      </c>
      <c r="M44" s="216">
        <f>K44*$O$7</f>
        <v>0</v>
      </c>
      <c r="O44" s="218" t="s">
        <v>5</v>
      </c>
      <c r="P44" s="217">
        <f>IF(P18=0,IF(Q40-P43-P42&lt;P8-N8,Q40-P43-P42,P8-N8),IF(Q40-P43-P42&lt;P7-N7-P18,Q40-P43-P42,P7-N7-P18))</f>
        <v>0</v>
      </c>
      <c r="Q44" s="217">
        <f>P44*$O$8*$Q$3</f>
        <v>0</v>
      </c>
      <c r="R44" s="216">
        <f>P44*$O$8</f>
        <v>0</v>
      </c>
      <c r="S44" s="211"/>
      <c r="U44" s="215" t="s">
        <v>2</v>
      </c>
      <c r="V44" s="209">
        <f>MIN(DP_REL+DP_DIV,$L$7*$K$7)</f>
        <v>0</v>
      </c>
      <c r="W44" s="209">
        <f>MIN(MAX(DP_MUT_REL+DP_MUT_DIV-($U$6-$T$6)-W46-W45,0),$L$7*$K$7)</f>
        <v>0</v>
      </c>
      <c r="X44" s="209">
        <f>MAX(MIN(MAX(P61+P62,0),$L$7*$K$7-V44+W44),0)</f>
        <v>400</v>
      </c>
      <c r="Y44" s="209">
        <f>MAX($K$7*$L$7-(V44+W44+X44),0)</f>
        <v>0</v>
      </c>
      <c r="Z44" s="209"/>
      <c r="AA44" s="208">
        <f>Y44/$K$7</f>
        <v>0</v>
      </c>
    </row>
    <row r="45" spans="1:31" s="163" customFormat="1" hidden="1" x14ac:dyDescent="0.3">
      <c r="A45" s="67"/>
      <c r="B45" s="67"/>
      <c r="C45" s="1"/>
      <c r="D45" s="1"/>
      <c r="E45" s="1"/>
      <c r="F45" s="161"/>
      <c r="G45" s="78"/>
      <c r="J45" s="214" t="s">
        <v>14</v>
      </c>
      <c r="K45" s="213">
        <f>MAX($L$40-SUM(K42:K44),0)</f>
        <v>0</v>
      </c>
      <c r="L45" s="213">
        <v>0</v>
      </c>
      <c r="M45" s="212">
        <v>0</v>
      </c>
      <c r="O45" s="214" t="s">
        <v>14</v>
      </c>
      <c r="P45" s="213">
        <f>MAX($Q$40-SUM(P42:P44),0)</f>
        <v>0</v>
      </c>
      <c r="Q45" s="213">
        <v>0</v>
      </c>
      <c r="R45" s="212">
        <v>0</v>
      </c>
      <c r="S45" s="211"/>
      <c r="U45" s="210" t="s">
        <v>3</v>
      </c>
      <c r="V45" s="209">
        <f>MIN(DP_REL+DP_DIV-V44,($N$7-$L$7)*$M$7)</f>
        <v>0</v>
      </c>
      <c r="W45" s="209">
        <f>MIN(MAX(DP_MUT_REL+DP_MUT_DIV-($U$6-$S$6)-W46,0),($N$7-$L$7)*$M$7)</f>
        <v>0</v>
      </c>
      <c r="X45" s="209">
        <f>MAX(MIN(MAX(P61+P62-X44,0),($N$7-$L$7)*$M$7-V45-W45),0)</f>
        <v>480</v>
      </c>
      <c r="Y45" s="209">
        <f>MAX(($N$7-$L$7)*$M$7-(V45+W45+X45),0)</f>
        <v>0</v>
      </c>
      <c r="Z45" s="209"/>
      <c r="AA45" s="208">
        <f>Y45/$M$7</f>
        <v>0</v>
      </c>
    </row>
    <row r="46" spans="1:31" hidden="1" x14ac:dyDescent="0.3">
      <c r="A46" s="92"/>
      <c r="B46" s="92"/>
      <c r="C46" s="93"/>
      <c r="D46" s="93"/>
      <c r="E46" s="93"/>
      <c r="F46" s="161"/>
      <c r="G46" s="78"/>
      <c r="K46" s="153">
        <f>SUM(K42:K45)</f>
        <v>100</v>
      </c>
      <c r="L46" s="153">
        <f>SUM(L42:L45)</f>
        <v>180.6</v>
      </c>
      <c r="M46" s="153">
        <f>SUM(M42:M45)</f>
        <v>200</v>
      </c>
      <c r="P46" s="153">
        <f>SUM(P42:P45)</f>
        <v>1000</v>
      </c>
      <c r="Q46" s="153">
        <f>SUM(Q42:Q45)</f>
        <v>704.34</v>
      </c>
      <c r="R46" s="153">
        <f>SUM(R42:R45)</f>
        <v>780</v>
      </c>
      <c r="S46" s="153"/>
      <c r="T46" s="3"/>
      <c r="U46" s="51" t="s">
        <v>5</v>
      </c>
      <c r="V46" s="52">
        <f>MIN(DP_REL+DP_DIV-V44-V45,($P$7-$N$7)*$O$7)</f>
        <v>0</v>
      </c>
      <c r="W46" s="52">
        <f>MIN(MAX(0,DP_MUT_REL+DP_MUT_DIV-($U$6-$S$6)),($P$7-$N$7)*$O$7)</f>
        <v>0</v>
      </c>
      <c r="X46" s="52">
        <f>MAX(MIN(MAX(0,P61+P62-X45-X44),($P$7-$N$7)*$O$7-V46-W46),0)</f>
        <v>100</v>
      </c>
      <c r="Y46" s="52">
        <f>MAX(($P$7-$N$7)*$O$7-(V46+W46+X46),0)</f>
        <v>449449.55</v>
      </c>
      <c r="Z46" s="52"/>
      <c r="AA46" s="53">
        <f>Y46/$O$7</f>
        <v>998776.77777777775</v>
      </c>
    </row>
    <row r="47" spans="1:31" hidden="1" x14ac:dyDescent="0.3">
      <c r="A47" s="207" t="s">
        <v>115</v>
      </c>
      <c r="B47" s="206"/>
      <c r="D47" s="176" t="s">
        <v>44</v>
      </c>
      <c r="E47" s="176" t="s">
        <v>45</v>
      </c>
      <c r="F47" s="161"/>
      <c r="G47" s="94"/>
      <c r="T47" s="22"/>
      <c r="U47" s="3"/>
      <c r="V47" s="18"/>
      <c r="W47" s="18"/>
      <c r="X47" s="18"/>
      <c r="Y47" s="205">
        <f>SUM(Y44:Y46)</f>
        <v>449449.55</v>
      </c>
      <c r="Z47" s="205"/>
      <c r="AA47" s="205">
        <f>SUM(AA44:AA46)</f>
        <v>998776.77777777775</v>
      </c>
    </row>
    <row r="48" spans="1:31" hidden="1" x14ac:dyDescent="0.3">
      <c r="A48" s="432" t="s">
        <v>114</v>
      </c>
      <c r="B48" s="432"/>
      <c r="C48" s="432"/>
      <c r="D48" s="204">
        <f>'Simuler mon abondement SGPM'!C60</f>
        <v>200</v>
      </c>
      <c r="E48" s="204">
        <f>'Simuler mon abondement SGPM'!D60</f>
        <v>180.6</v>
      </c>
      <c r="F48" s="94"/>
      <c r="G48" s="94"/>
      <c r="N48" s="22"/>
      <c r="O48" s="22"/>
      <c r="P48" s="22"/>
      <c r="Q48" s="22"/>
      <c r="R48" s="22"/>
      <c r="S48" s="22"/>
      <c r="T48" s="22"/>
    </row>
    <row r="49" spans="1:21" hidden="1" x14ac:dyDescent="0.3">
      <c r="A49" s="432" t="s">
        <v>113</v>
      </c>
      <c r="B49" s="432"/>
      <c r="C49" s="432"/>
      <c r="D49" s="204">
        <f>'Simuler mon abondement SGPM'!C61</f>
        <v>780</v>
      </c>
      <c r="E49" s="204">
        <f>'Simuler mon abondement SGPM'!D61</f>
        <v>704.34</v>
      </c>
      <c r="F49" s="161"/>
      <c r="G49" s="94"/>
      <c r="J49" s="46" t="s">
        <v>18</v>
      </c>
      <c r="K49" s="46"/>
      <c r="L49" s="47"/>
      <c r="M49" s="47"/>
      <c r="N49" s="47"/>
      <c r="O49" s="47"/>
      <c r="P49" s="47"/>
      <c r="Q49" s="47"/>
      <c r="R49" s="47"/>
      <c r="S49" s="47"/>
      <c r="T49" s="47"/>
    </row>
    <row r="50" spans="1:21" hidden="1" x14ac:dyDescent="0.3">
      <c r="F50" s="161"/>
      <c r="G50" s="94"/>
      <c r="J50" s="3" t="s">
        <v>35</v>
      </c>
      <c r="N50" s="36" t="s">
        <v>28</v>
      </c>
      <c r="O50" s="37" t="s">
        <v>25</v>
      </c>
      <c r="P50" s="38" t="s">
        <v>29</v>
      </c>
      <c r="Q50" s="36" t="s">
        <v>27</v>
      </c>
      <c r="R50" s="37" t="s">
        <v>26</v>
      </c>
      <c r="S50" s="126"/>
      <c r="T50" s="38" t="s">
        <v>30</v>
      </c>
    </row>
    <row r="51" spans="1:21" hidden="1" x14ac:dyDescent="0.3">
      <c r="A51" s="432" t="s">
        <v>64</v>
      </c>
      <c r="B51" s="432"/>
      <c r="C51" s="432"/>
      <c r="D51" s="300">
        <f>'Simuler mon abondement SGPM'!C63</f>
        <v>980</v>
      </c>
      <c r="E51" s="300">
        <f>'Simuler mon abondement SGPM'!D63</f>
        <v>884.94</v>
      </c>
      <c r="F51" s="161"/>
      <c r="G51" s="94"/>
      <c r="J51" s="1" t="s">
        <v>48</v>
      </c>
      <c r="N51" s="39">
        <f>MAX(MIN($M$31,$R$7),0)</f>
        <v>200</v>
      </c>
      <c r="O51" s="40">
        <f>MAX(MIN($N$51,$T$7),0)</f>
        <v>200</v>
      </c>
      <c r="P51" s="41">
        <f>MAX(IF(O51&gt;U7,MAX(U7,0),O51),0)</f>
        <v>200</v>
      </c>
      <c r="Q51" s="39">
        <f>N51*$Q$3</f>
        <v>180.6</v>
      </c>
      <c r="R51" s="40">
        <f>O51*$Q$3</f>
        <v>180.6</v>
      </c>
      <c r="S51" s="127"/>
      <c r="T51" s="41">
        <f>P51*$Q$3</f>
        <v>180.6</v>
      </c>
    </row>
    <row r="52" spans="1:21" s="163" customFormat="1" hidden="1" x14ac:dyDescent="0.3">
      <c r="A52" s="95"/>
      <c r="B52" s="95"/>
      <c r="C52" s="96"/>
      <c r="D52" s="96"/>
      <c r="E52" s="96"/>
      <c r="F52" s="96"/>
      <c r="G52" s="203"/>
      <c r="J52" s="163" t="s">
        <v>17</v>
      </c>
      <c r="N52" s="184">
        <f>MAX(MIN($R$31,$R$8),0)</f>
        <v>780</v>
      </c>
      <c r="O52" s="183">
        <f>MAX(MIN($N$52,$T$8-O51),0)</f>
        <v>780</v>
      </c>
      <c r="P52" s="181">
        <f>MAX(IF(O51&lt;U8,IF(O52+O51&gt;U8,U8-O51,O52),0),0)</f>
        <v>780</v>
      </c>
      <c r="Q52" s="184">
        <f>N52*$Q$3</f>
        <v>704.34</v>
      </c>
      <c r="R52" s="183">
        <f>O52*$Q$3</f>
        <v>704.34</v>
      </c>
      <c r="S52" s="182"/>
      <c r="T52" s="181">
        <f>P52*$Q$3</f>
        <v>704.34</v>
      </c>
    </row>
    <row r="53" spans="1:21" x14ac:dyDescent="0.3">
      <c r="A53" s="202"/>
      <c r="B53" s="202"/>
      <c r="N53" s="22"/>
      <c r="O53" s="22"/>
      <c r="P53" s="22"/>
      <c r="Q53" s="22"/>
      <c r="R53" s="22"/>
      <c r="S53" s="22"/>
      <c r="T53" s="22"/>
    </row>
    <row r="54" spans="1:21" s="163" customFormat="1" x14ac:dyDescent="0.3">
      <c r="A54" s="435" t="s">
        <v>149</v>
      </c>
      <c r="B54" s="435"/>
      <c r="C54" s="435"/>
      <c r="D54" s="435"/>
      <c r="E54" s="435"/>
      <c r="F54" s="1"/>
    </row>
    <row r="55" spans="1:21" x14ac:dyDescent="0.3">
      <c r="A55" s="433" t="s">
        <v>148</v>
      </c>
      <c r="B55" s="433"/>
      <c r="C55" s="433"/>
      <c r="D55" s="433"/>
      <c r="E55" s="433"/>
    </row>
    <row r="56" spans="1:21" s="163" customFormat="1" x14ac:dyDescent="0.3">
      <c r="A56" s="1"/>
      <c r="B56" s="1"/>
      <c r="C56" s="1"/>
      <c r="D56" s="1"/>
      <c r="E56" s="1"/>
      <c r="F56" s="1"/>
    </row>
    <row r="57" spans="1:21" customFormat="1" x14ac:dyDescent="0.3">
      <c r="A57" s="1"/>
      <c r="B57" s="1"/>
      <c r="C57" s="1"/>
      <c r="D57" s="1"/>
      <c r="E57" s="1"/>
      <c r="F57" s="1"/>
    </row>
    <row r="58" spans="1:21" customFormat="1" ht="22.95" customHeight="1" x14ac:dyDescent="0.3">
      <c r="A58" s="302" t="s">
        <v>150</v>
      </c>
      <c r="B58" s="1"/>
      <c r="C58" s="1"/>
      <c r="D58" s="1"/>
      <c r="E58" s="1"/>
      <c r="F58" s="1"/>
    </row>
    <row r="59" spans="1:21" ht="43.2" x14ac:dyDescent="0.3">
      <c r="A59" s="434" t="s">
        <v>151</v>
      </c>
      <c r="B59" s="434"/>
      <c r="C59" s="201" t="str">
        <f>"Avoir le maximum en fonds d'actionnariat pour atteindre le plafond d'abondement : "&amp;(100-D117)&amp;" %"</f>
        <v>Avoir le maximum en fonds d'actionnariat pour atteindre le plafond d'abondement : 16 %</v>
      </c>
      <c r="E59" s="200" t="str">
        <f>"Avoir le maximum en fonds diversifiés pour atteindre le plafond d'abondement : "&amp;(D117)&amp;" %"</f>
        <v>Avoir le maximum en fonds diversifiés pour atteindre le plafond d'abondement : 84 %</v>
      </c>
      <c r="F59" s="161"/>
    </row>
    <row r="60" spans="1:21" hidden="1" x14ac:dyDescent="0.3">
      <c r="C60" s="199"/>
      <c r="D60" s="198">
        <f>100-D117</f>
        <v>16</v>
      </c>
      <c r="E60" s="197"/>
      <c r="F60" s="161"/>
    </row>
    <row r="61" spans="1:21" s="163" customFormat="1" hidden="1" x14ac:dyDescent="0.3">
      <c r="A61" s="1"/>
      <c r="B61" s="1"/>
      <c r="C61" s="1"/>
      <c r="D61" s="1"/>
      <c r="E61" s="1"/>
      <c r="F61" s="1"/>
      <c r="J61" s="163" t="s">
        <v>48</v>
      </c>
      <c r="N61" s="196">
        <f>MAX(MIN($M$46,$R$7),0)</f>
        <v>200</v>
      </c>
      <c r="O61" s="195">
        <f>MAX(MIN($N$61,$T$7),0)</f>
        <v>200</v>
      </c>
      <c r="P61" s="193">
        <f>MAX(IF(O61&gt;U7,MAX(U7,0),O61),0)</f>
        <v>200</v>
      </c>
      <c r="Q61" s="196">
        <f>N61*$Q$3</f>
        <v>180.6</v>
      </c>
      <c r="R61" s="195">
        <f>O61*$Q$3</f>
        <v>180.6</v>
      </c>
      <c r="S61" s="194"/>
      <c r="T61" s="193">
        <f>P61*$Q$3</f>
        <v>180.6</v>
      </c>
    </row>
    <row r="62" spans="1:21" s="163" customFormat="1" x14ac:dyDescent="0.3">
      <c r="A62" s="1"/>
      <c r="B62" s="1"/>
      <c r="C62" s="1"/>
      <c r="D62" s="1"/>
      <c r="E62" s="1"/>
      <c r="F62" s="1"/>
      <c r="J62" s="163" t="s">
        <v>17</v>
      </c>
      <c r="N62" s="184">
        <f>MAX(MIN($R$46,$R$8),0)</f>
        <v>780</v>
      </c>
      <c r="O62" s="183">
        <f>MAX(MIN($N$62,$T$8-O61),0)</f>
        <v>780</v>
      </c>
      <c r="P62" s="181">
        <f>MAX(IF(O61&lt;U8,IF(O62+O61&gt;U8,U8-O61,O62),0),0)</f>
        <v>780</v>
      </c>
      <c r="Q62" s="184">
        <f>N62*$Q$3</f>
        <v>704.34</v>
      </c>
      <c r="R62" s="183">
        <f>O62*$Q$3</f>
        <v>704.34</v>
      </c>
      <c r="S62" s="182"/>
      <c r="T62" s="181">
        <f>P62*$Q$3</f>
        <v>704.34</v>
      </c>
    </row>
    <row r="63" spans="1:21" ht="22.95" customHeight="1" x14ac:dyDescent="0.3">
      <c r="A63" s="296" t="s">
        <v>152</v>
      </c>
      <c r="C63" s="176" t="s">
        <v>175</v>
      </c>
      <c r="D63" s="176" t="s">
        <v>111</v>
      </c>
      <c r="E63" s="176" t="s">
        <v>110</v>
      </c>
      <c r="F63" s="161"/>
    </row>
    <row r="64" spans="1:21" ht="31.95" customHeight="1" thickBot="1" x14ac:dyDescent="0.35">
      <c r="A64" s="427" t="s">
        <v>153</v>
      </c>
      <c r="B64" s="428"/>
      <c r="C64" s="172">
        <f>SUM(Y36:Y38)</f>
        <v>1502.6742666666657</v>
      </c>
      <c r="D64" s="172">
        <f>MAX(MIN(IF(D109&lt;'POLITIQUE D''ABONDEMENT SGPM'!E5,  ('POLITIQUE D''ABONDEMENT SGPM'!E5-D109)*'POLITIQUE D''ABONDEMENT SGPM'!D5+'POLITIQUE D''ABONDEMENT SGPM'!E6*'POLITIQUE D''ABONDEMENT SGPM'!D6+'POLITIQUE D''ABONDEMENT SGPM'!E7*'POLITIQUE D''ABONDEMENT SGPM'!D7,  IF(D109&lt;('POLITIQUE D''ABONDEMENT SGPM'!E6+'POLITIQUE D''ABONDEMENT SGPM'!E5),    ('POLITIQUE D''ABONDEMENT SGPM'!E5+'POLITIQUE D''ABONDEMENT SGPM'!E6-D109)*'POLITIQUE D''ABONDEMENT SGPM'!D6+'POLITIQUE D''ABONDEMENT SGPM'!E7*'POLITIQUE D''ABONDEMENT SGPM'!D7,    ('POLITIQUE D''ABONDEMENT SGPM'!E8-D109)*'POLITIQUE D''ABONDEMENT SGPM'!D7  )),D113),0)</f>
        <v>951.2034199999996</v>
      </c>
      <c r="E64" s="172">
        <f>D64*$Q$3</f>
        <v>858.93668825999964</v>
      </c>
      <c r="F64" s="161"/>
      <c r="I64" s="46" t="s">
        <v>65</v>
      </c>
      <c r="J64" s="46"/>
      <c r="K64" s="47"/>
      <c r="L64" s="47"/>
      <c r="M64" s="47"/>
      <c r="N64" s="47"/>
      <c r="O64" s="47"/>
      <c r="P64" s="47"/>
      <c r="Q64" s="47"/>
      <c r="R64" s="47"/>
      <c r="S64" s="47"/>
      <c r="U64" s="46" t="s">
        <v>112</v>
      </c>
    </row>
    <row r="65" spans="1:24" ht="31.95" customHeight="1" thickBot="1" x14ac:dyDescent="0.35">
      <c r="A65" s="423" t="s">
        <v>154</v>
      </c>
      <c r="B65" s="424"/>
      <c r="C65" s="172">
        <f>SUM(AE36:AE38)</f>
        <v>597.33240000000023</v>
      </c>
      <c r="D65" s="172">
        <f>IF(AND(D110&lt;('POLITIQUE D''ABONDEMENT SGPM'!K5+'POLITIQUE D''ABONDEMENT SGPM'!K6),D110&gt;('POLITIQUE D''ABONDEMENT SGPM'!K5),D109&gt;'POLITIQUE D''ABONDEMENT SGPM'!E5+'POLITIQUE D''ABONDEMENT SGPM'!E6,D112&gt;0,'Maximiser mon abondement SGPM'!D112&lt;'Maximiser mon abondement SGPM'!D111),MIN(('POLITIQUE D''ABONDEMENT SGPM'!K5+'POLITIQUE D''ABONDEMENT SGPM'!K6 - D110)*'POLITIQUE D''ABONDEMENT SGPM'!J6+('Maximiser mon abondement SGPM'!D112-('POLITIQUE D''ABONDEMENT SGPM'!K5+'POLITIQUE D''ABONDEMENT SGPM'!K6 - D110)*'POLITIQUE D''ABONDEMENT SGPM'!J6)/2,D112),IF(AND(D110&gt;('POLITIQUE D''ABONDEMENT SGPM'!K5+'POLITIQUE D''ABONDEMENT SGPM'!K6),D109&gt;'POLITIQUE D''ABONDEMENT SGPM'!E5+'POLITIQUE D''ABONDEMENT SGPM'!E6,D112&gt;0,'Maximiser mon abondement SGPM'!D112&lt;'Maximiser mon abondement SGPM'!D111),'Maximiser mon abondement SGPM'!D112/2,MAX(MIN(IF(D110&lt;'POLITIQUE D''ABONDEMENT SGPM'!K5,  ('POLITIQUE D''ABONDEMENT SGPM'!K5-D110)*'POLITIQUE D''ABONDEMENT SGPM'!J5+'POLITIQUE D''ABONDEMENT SGPM'!K6*'POLITIQUE D''ABONDEMENT SGPM'!J6+'POLITIQUE D''ABONDEMENT SGPM'!K7*'POLITIQUE D''ABONDEMENT SGPM'!J7,  IF(D110&lt;('POLITIQUE D''ABONDEMENT SGPM'!K6+'POLITIQUE D''ABONDEMENT SGPM'!K5),    ('POLITIQUE D''ABONDEMENT SGPM'!K5+'POLITIQUE D''ABONDEMENT SGPM'!K6-D110)*'POLITIQUE D''ABONDEMENT SGPM'!J6+'POLITIQUE D''ABONDEMENT SGPM'!K7*'POLITIQUE D''ABONDEMENT SGPM'!J7,    ('POLITIQUE D''ABONDEMENT SGPM'!K8-D110)*'POLITIQUE D''ABONDEMENT SGPM'!J7  )),D111,D112),0)))</f>
        <v>268.79958000000011</v>
      </c>
      <c r="E65" s="172">
        <f>D65*$Q$3</f>
        <v>242.72602074000011</v>
      </c>
      <c r="F65" s="161"/>
      <c r="I65" s="1" t="s">
        <v>66</v>
      </c>
      <c r="K65" s="123">
        <f>T7-D43</f>
        <v>1220.0029999999997</v>
      </c>
      <c r="U65" s="415" t="s">
        <v>47</v>
      </c>
      <c r="V65" s="416"/>
      <c r="W65" s="416"/>
      <c r="X65" s="417"/>
    </row>
    <row r="66" spans="1:24" ht="31.95" customHeight="1" x14ac:dyDescent="0.3">
      <c r="A66" s="423" t="s">
        <v>109</v>
      </c>
      <c r="B66" s="424"/>
      <c r="C66" s="171">
        <f>C64+C65</f>
        <v>2100.0066666666662</v>
      </c>
      <c r="D66" s="171">
        <f>D64+D65</f>
        <v>1220.0029999999997</v>
      </c>
      <c r="E66" s="171">
        <f>E64+E65</f>
        <v>1101.6627089999997</v>
      </c>
      <c r="F66" s="161"/>
      <c r="U66" s="15" t="s">
        <v>69</v>
      </c>
      <c r="V66" s="22">
        <f>$D$48</f>
        <v>200</v>
      </c>
      <c r="W66" s="2" t="s">
        <v>70</v>
      </c>
      <c r="X66" s="192" t="e">
        <f>#REF!</f>
        <v>#REF!</v>
      </c>
    </row>
    <row r="67" spans="1:24" x14ac:dyDescent="0.3">
      <c r="A67" s="170"/>
      <c r="B67" s="169"/>
      <c r="C67" s="166"/>
      <c r="D67" s="166"/>
      <c r="E67" s="166"/>
      <c r="F67" s="161"/>
      <c r="U67" s="15"/>
      <c r="V67" s="22"/>
      <c r="W67" s="2"/>
      <c r="X67" s="123"/>
    </row>
    <row r="68" spans="1:24" x14ac:dyDescent="0.3">
      <c r="A68" s="420" t="s">
        <v>155</v>
      </c>
      <c r="B68" s="420"/>
      <c r="C68" s="166">
        <f>C66+D27+D28+D31+D32+DV_REL+DV_DIV</f>
        <v>3200.0066666666662</v>
      </c>
      <c r="D68" s="166">
        <f>D66+D51</f>
        <v>2200.0029999999997</v>
      </c>
      <c r="E68" s="166">
        <f>E66+E51</f>
        <v>1986.6027089999998</v>
      </c>
      <c r="F68" s="161"/>
      <c r="U68" s="191"/>
      <c r="V68" s="190" t="s">
        <v>71</v>
      </c>
      <c r="W68" s="190" t="s">
        <v>72</v>
      </c>
      <c r="X68" s="190" t="s">
        <v>73</v>
      </c>
    </row>
    <row r="69" spans="1:24" hidden="1" x14ac:dyDescent="0.3">
      <c r="F69" s="161"/>
      <c r="U69" s="168" t="s">
        <v>2</v>
      </c>
      <c r="V69" s="22">
        <f>'POLITIQUE D''ABONDEMENT SGPM'!$F$5</f>
        <v>400</v>
      </c>
      <c r="W69" s="22">
        <f>MAX(V69-V66,0)</f>
        <v>200</v>
      </c>
      <c r="X69" s="22" t="e">
        <f>MIN(W69,X66)</f>
        <v>#REF!</v>
      </c>
    </row>
    <row r="70" spans="1:24" hidden="1" x14ac:dyDescent="0.3">
      <c r="F70" s="161"/>
      <c r="U70" s="168" t="s">
        <v>3</v>
      </c>
      <c r="V70" s="22">
        <f>'POLITIQUE D''ABONDEMENT SGPM'!$F$6</f>
        <v>480</v>
      </c>
      <c r="W70" s="22">
        <f>MIN(MAX(V70-(V66-V69),0),V70)</f>
        <v>480</v>
      </c>
      <c r="X70" s="22" t="e">
        <f>MIN(W70,X66-X69)</f>
        <v>#REF!</v>
      </c>
    </row>
    <row r="71" spans="1:24" hidden="1" x14ac:dyDescent="0.3">
      <c r="F71" s="161"/>
      <c r="U71" s="168" t="s">
        <v>5</v>
      </c>
      <c r="V71" s="22">
        <f>'POLITIQUE D''ABONDEMENT SGPM'!$F$7</f>
        <v>1320.0029999999999</v>
      </c>
      <c r="W71" s="22">
        <f>MIN(MAX(V71-(V66-V69-V70),0),V71)</f>
        <v>1320.0029999999999</v>
      </c>
      <c r="X71" s="22" t="e">
        <f>MIN(W71,X66-X69-X70)</f>
        <v>#REF!</v>
      </c>
    </row>
    <row r="72" spans="1:24" hidden="1" x14ac:dyDescent="0.3">
      <c r="A72" s="425"/>
      <c r="B72" s="425"/>
      <c r="F72" s="161"/>
      <c r="U72" s="168"/>
      <c r="V72" s="22"/>
      <c r="W72" s="22"/>
      <c r="X72" s="22"/>
    </row>
    <row r="73" spans="1:24" hidden="1" x14ac:dyDescent="0.3">
      <c r="B73" s="189"/>
      <c r="F73" s="161"/>
    </row>
    <row r="74" spans="1:24" hidden="1" x14ac:dyDescent="0.3"/>
    <row r="75" spans="1:24" hidden="1" x14ac:dyDescent="0.3"/>
    <row r="78" spans="1:24" customFormat="1" ht="15" thickBot="1" x14ac:dyDescent="0.35">
      <c r="A78" s="426" t="s">
        <v>156</v>
      </c>
      <c r="B78" s="426"/>
      <c r="C78" s="188" t="s">
        <v>24</v>
      </c>
      <c r="D78" s="1"/>
      <c r="E78" s="187"/>
      <c r="F78" s="186"/>
    </row>
    <row r="79" spans="1:24" s="163" customFormat="1" hidden="1" x14ac:dyDescent="0.3">
      <c r="A79" s="185"/>
      <c r="B79" s="185"/>
      <c r="J79" s="163" t="s">
        <v>17</v>
      </c>
      <c r="N79" s="184">
        <f>MAX(MIN($R$31,$R$8),0)</f>
        <v>780</v>
      </c>
      <c r="O79" s="183" t="e">
        <f>MAX(MIN($N$52,$T$8-#REF!),0)</f>
        <v>#REF!</v>
      </c>
      <c r="P79" s="181" t="e">
        <f>MAX(IF(#REF!&lt;U21,IF(O79+#REF!&gt;U21,U21-#REF!,O79),0),0)</f>
        <v>#REF!</v>
      </c>
      <c r="Q79" s="184">
        <f>N79*$Q$3</f>
        <v>704.34</v>
      </c>
      <c r="R79" s="183" t="e">
        <f>O79*$Q$3</f>
        <v>#REF!</v>
      </c>
      <c r="S79" s="182"/>
      <c r="T79" s="181" t="e">
        <f>P79*$Q$3</f>
        <v>#REF!</v>
      </c>
    </row>
    <row r="80" spans="1:24" s="163" customFormat="1" hidden="1" x14ac:dyDescent="0.3"/>
    <row r="81" spans="1:19" hidden="1" x14ac:dyDescent="0.3"/>
    <row r="82" spans="1:19" hidden="1" x14ac:dyDescent="0.3"/>
    <row r="83" spans="1:19" s="163" customFormat="1" ht="15" hidden="1" thickBot="1" x14ac:dyDescent="0.35"/>
    <row r="84" spans="1:19" s="163" customFormat="1" ht="15" hidden="1" thickBot="1" x14ac:dyDescent="0.35">
      <c r="A84" s="180"/>
      <c r="B84" s="180"/>
      <c r="J84" s="429" t="s">
        <v>47</v>
      </c>
      <c r="K84" s="430"/>
      <c r="L84" s="430"/>
      <c r="M84" s="431"/>
      <c r="O84" s="429" t="s">
        <v>7</v>
      </c>
      <c r="P84" s="430"/>
      <c r="Q84" s="430"/>
      <c r="R84" s="431"/>
    </row>
    <row r="85" spans="1:19" ht="15" thickBot="1" x14ac:dyDescent="0.35">
      <c r="A85" s="421" t="s">
        <v>157</v>
      </c>
      <c r="B85" s="422"/>
      <c r="C85" s="179">
        <v>1000</v>
      </c>
      <c r="D85" s="295" t="s">
        <v>158</v>
      </c>
      <c r="J85" s="415" t="s">
        <v>47</v>
      </c>
      <c r="K85" s="416"/>
      <c r="L85" s="416"/>
      <c r="M85" s="417"/>
      <c r="O85" s="415" t="s">
        <v>7</v>
      </c>
      <c r="P85" s="416"/>
      <c r="Q85" s="416"/>
      <c r="R85" s="417"/>
    </row>
    <row r="86" spans="1:19" x14ac:dyDescent="0.3">
      <c r="B86" s="178"/>
      <c r="J86" s="160"/>
      <c r="K86" s="160"/>
      <c r="L86" s="160"/>
      <c r="M86" s="160"/>
      <c r="O86" s="160"/>
      <c r="P86" s="160"/>
      <c r="Q86" s="160"/>
      <c r="R86" s="160"/>
    </row>
    <row r="87" spans="1:19" ht="22.95" customHeight="1" x14ac:dyDescent="0.3">
      <c r="A87" s="177" t="s">
        <v>152</v>
      </c>
      <c r="C87" s="176" t="s">
        <v>176</v>
      </c>
      <c r="D87" s="176" t="s">
        <v>111</v>
      </c>
      <c r="E87" s="176" t="s">
        <v>110</v>
      </c>
      <c r="F87" s="161"/>
      <c r="J87" s="15" t="s">
        <v>15</v>
      </c>
      <c r="L87" s="2">
        <f>L14+L40</f>
        <v>100</v>
      </c>
      <c r="O87" s="15" t="s">
        <v>15</v>
      </c>
      <c r="Q87" s="2">
        <f>Q14+Q40</f>
        <v>1000</v>
      </c>
    </row>
    <row r="88" spans="1:19" ht="31.95" customHeight="1" x14ac:dyDescent="0.3">
      <c r="A88" s="427" t="s">
        <v>153</v>
      </c>
      <c r="B88" s="428"/>
      <c r="C88" s="172">
        <f>C90-C89</f>
        <v>498.24078399999985</v>
      </c>
      <c r="D88" s="172">
        <f>M105</f>
        <v>438.94447039999989</v>
      </c>
      <c r="E88" s="172">
        <f>L105</f>
        <v>396.36685677119993</v>
      </c>
      <c r="F88" s="161"/>
      <c r="J88" s="175"/>
      <c r="K88" s="10" t="s">
        <v>8</v>
      </c>
      <c r="L88" s="10" t="s">
        <v>9</v>
      </c>
      <c r="M88" s="173" t="s">
        <v>10</v>
      </c>
      <c r="O88" s="175"/>
      <c r="P88" s="10" t="s">
        <v>11</v>
      </c>
      <c r="Q88" s="174" t="s">
        <v>12</v>
      </c>
      <c r="R88" s="173" t="s">
        <v>13</v>
      </c>
    </row>
    <row r="89" spans="1:19" ht="31.95" customHeight="1" x14ac:dyDescent="0.3">
      <c r="A89" s="423" t="s">
        <v>154</v>
      </c>
      <c r="B89" s="424"/>
      <c r="C89" s="172">
        <f>MIN(C65*D117/100,C85+0)</f>
        <v>501.75921600000015</v>
      </c>
      <c r="D89" s="172">
        <f>R105</f>
        <v>225.79164720000009</v>
      </c>
      <c r="E89" s="172">
        <f>Q105</f>
        <v>203.88985742160008</v>
      </c>
      <c r="F89" s="161"/>
      <c r="J89" s="11" t="s">
        <v>2</v>
      </c>
      <c r="K89" s="12">
        <f>MIN($L$7,L87)</f>
        <v>100</v>
      </c>
      <c r="L89" s="12">
        <f>K89*$K$7*$Q$3</f>
        <v>180.6</v>
      </c>
      <c r="M89" s="13">
        <f>K89*$K$7</f>
        <v>200</v>
      </c>
      <c r="O89" s="11" t="s">
        <v>2</v>
      </c>
      <c r="P89" s="12">
        <f>IF(Q87&lt;$L$7,Q87,$L$7)</f>
        <v>200</v>
      </c>
      <c r="Q89" s="12">
        <f>P89*$K$8*$Q$3</f>
        <v>270.90000000000003</v>
      </c>
      <c r="R89" s="13">
        <f>P89*$K$8</f>
        <v>300</v>
      </c>
    </row>
    <row r="90" spans="1:19" ht="31.95" customHeight="1" x14ac:dyDescent="0.3">
      <c r="A90" s="423" t="s">
        <v>109</v>
      </c>
      <c r="B90" s="424"/>
      <c r="C90" s="171">
        <f>C85</f>
        <v>1000</v>
      </c>
      <c r="D90" s="171">
        <f>D89+D88</f>
        <v>664.73611759999994</v>
      </c>
      <c r="E90" s="171">
        <f>E89+E88</f>
        <v>600.25671419280002</v>
      </c>
      <c r="J90" s="11" t="s">
        <v>3</v>
      </c>
      <c r="K90" s="12">
        <f>IF(L87-K89&lt;$N$7-$L$7,L87-K89,$N$7-$L$7)</f>
        <v>0</v>
      </c>
      <c r="L90" s="12">
        <f>K90*$M$7*$Q$3</f>
        <v>0</v>
      </c>
      <c r="M90" s="13">
        <f>K90*$M$7</f>
        <v>0</v>
      </c>
      <c r="O90" s="11" t="s">
        <v>3</v>
      </c>
      <c r="P90" s="12">
        <f>IF(Q87-P89&gt;$N$7-$L$7,$N$7-$L$7,Q87-P89)</f>
        <v>800</v>
      </c>
      <c r="Q90" s="12">
        <f>P90*$M$8*$Q$3</f>
        <v>433.44</v>
      </c>
      <c r="R90" s="13">
        <f>P90*$M$8</f>
        <v>480</v>
      </c>
      <c r="S90" s="22"/>
    </row>
    <row r="91" spans="1:19" x14ac:dyDescent="0.3">
      <c r="A91" s="170"/>
      <c r="B91" s="169"/>
      <c r="C91" s="166"/>
      <c r="D91" s="166"/>
      <c r="E91" s="166"/>
      <c r="J91" s="168"/>
      <c r="K91" s="22"/>
      <c r="L91" s="22"/>
      <c r="M91" s="167"/>
      <c r="O91" s="168"/>
      <c r="P91" s="22"/>
      <c r="Q91" s="22"/>
      <c r="R91" s="167"/>
      <c r="S91" s="22"/>
    </row>
    <row r="92" spans="1:19" x14ac:dyDescent="0.3">
      <c r="A92" s="420" t="s">
        <v>155</v>
      </c>
      <c r="B92" s="420"/>
      <c r="C92" s="166">
        <f>C90+D27+D28+D31+D32+DV_REL+DV_DIV</f>
        <v>2100</v>
      </c>
      <c r="D92" s="166">
        <f>D51+D90</f>
        <v>1644.7361175999999</v>
      </c>
      <c r="E92" s="166">
        <f>E90+E51</f>
        <v>1485.1967141928001</v>
      </c>
      <c r="J92" s="11" t="s">
        <v>5</v>
      </c>
      <c r="K92" s="12">
        <f>IF(L87-K90-K89&lt;$P$7-$N$7,L87-K90-K89,$P$7-$N$7)</f>
        <v>0</v>
      </c>
      <c r="L92" s="12">
        <f>K92*$O$7*$Q$3</f>
        <v>0</v>
      </c>
      <c r="M92" s="13">
        <f>K92*$O$7</f>
        <v>0</v>
      </c>
      <c r="O92" s="11" t="s">
        <v>5</v>
      </c>
      <c r="P92" s="12">
        <f>IF(Q87-P90-P89&gt;$P$7-$N$7,$P$7-$N$7,Q87-P90-P89)</f>
        <v>0</v>
      </c>
      <c r="Q92" s="12">
        <f>P92*$O$8*$Q$3</f>
        <v>0</v>
      </c>
      <c r="R92" s="13">
        <f>P92*$O$8</f>
        <v>0</v>
      </c>
    </row>
    <row r="93" spans="1:19" x14ac:dyDescent="0.3">
      <c r="F93" s="161"/>
      <c r="J93" s="418" t="s">
        <v>14</v>
      </c>
      <c r="K93" s="394">
        <f>MAX(L87-SUM(K89:K92),0)</f>
        <v>0</v>
      </c>
      <c r="L93" s="394">
        <v>0</v>
      </c>
      <c r="M93" s="396">
        <v>0</v>
      </c>
      <c r="O93" s="418" t="s">
        <v>14</v>
      </c>
      <c r="P93" s="394">
        <f>MAX(Q87-SUM(P89:P92),0)</f>
        <v>0</v>
      </c>
      <c r="Q93" s="394">
        <v>0</v>
      </c>
      <c r="R93" s="396">
        <v>0</v>
      </c>
    </row>
    <row r="94" spans="1:19" s="163" customFormat="1" hidden="1" x14ac:dyDescent="0.3">
      <c r="A94" s="165"/>
      <c r="F94" s="164"/>
      <c r="J94" s="419"/>
      <c r="K94" s="395"/>
      <c r="L94" s="395"/>
      <c r="M94" s="397"/>
      <c r="O94" s="419"/>
      <c r="P94" s="395"/>
      <c r="Q94" s="395"/>
      <c r="R94" s="397"/>
    </row>
    <row r="95" spans="1:19" hidden="1" x14ac:dyDescent="0.3">
      <c r="A95" s="159" t="s">
        <v>108</v>
      </c>
      <c r="B95" s="159"/>
    </row>
    <row r="96" spans="1:19" ht="15" hidden="1" thickBot="1" x14ac:dyDescent="0.35">
      <c r="A96" s="159" t="s">
        <v>107</v>
      </c>
      <c r="B96" s="159"/>
      <c r="F96" s="161"/>
      <c r="J96" s="46" t="s">
        <v>106</v>
      </c>
      <c r="K96" s="46"/>
      <c r="L96" s="47"/>
      <c r="M96" s="47"/>
      <c r="N96" s="47"/>
      <c r="O96" s="47"/>
      <c r="P96" s="47"/>
      <c r="Q96" s="47"/>
      <c r="R96" s="47"/>
      <c r="S96" s="47"/>
    </row>
    <row r="97" spans="1:19" ht="15" hidden="1" thickBot="1" x14ac:dyDescent="0.35">
      <c r="A97" s="159" t="s">
        <v>105</v>
      </c>
      <c r="B97" s="162"/>
      <c r="F97" s="161"/>
      <c r="J97" s="415" t="s">
        <v>47</v>
      </c>
      <c r="K97" s="416"/>
      <c r="L97" s="416"/>
      <c r="M97" s="417"/>
      <c r="O97" s="415" t="s">
        <v>7</v>
      </c>
      <c r="P97" s="416"/>
      <c r="Q97" s="416"/>
      <c r="R97" s="417"/>
      <c r="S97" s="160"/>
    </row>
    <row r="98" spans="1:19" hidden="1" x14ac:dyDescent="0.3">
      <c r="A98" s="159" t="s">
        <v>104</v>
      </c>
      <c r="B98" s="159"/>
      <c r="J98" s="15" t="s">
        <v>103</v>
      </c>
      <c r="L98" s="2">
        <f>C88</f>
        <v>498.24078399999985</v>
      </c>
      <c r="O98" s="15" t="s">
        <v>15</v>
      </c>
      <c r="Q98" s="2">
        <f>C89</f>
        <v>501.75921600000015</v>
      </c>
    </row>
    <row r="99" spans="1:19" hidden="1" x14ac:dyDescent="0.3">
      <c r="J99" s="158"/>
      <c r="K99" s="24" t="s">
        <v>8</v>
      </c>
      <c r="L99" s="24" t="s">
        <v>9</v>
      </c>
      <c r="M99" s="156" t="s">
        <v>10</v>
      </c>
      <c r="O99" s="158"/>
      <c r="P99" s="24" t="s">
        <v>11</v>
      </c>
      <c r="Q99" s="157" t="s">
        <v>12</v>
      </c>
      <c r="R99" s="156" t="s">
        <v>13</v>
      </c>
      <c r="S99" s="155"/>
    </row>
    <row r="100" spans="1:19" hidden="1" x14ac:dyDescent="0.3">
      <c r="J100" s="25" t="s">
        <v>2</v>
      </c>
      <c r="K100" s="26">
        <f>IF(K89=0,MIN($L$7,L98),IF(L98&lt;$L$7-K89,L98,$L$7-K89))</f>
        <v>100</v>
      </c>
      <c r="L100" s="26">
        <f>K100*$K$7*$Q$3</f>
        <v>180.6</v>
      </c>
      <c r="M100" s="27">
        <f>K100*$K$7</f>
        <v>200</v>
      </c>
      <c r="O100" s="25" t="s">
        <v>2</v>
      </c>
      <c r="P100" s="26">
        <f>IF(P89=0,IF(Q98&lt;$L$8,Q98,$L$8),IF(Q98&lt;$L$8-P89,Q98,$L$8-P89))</f>
        <v>0</v>
      </c>
      <c r="Q100" s="26">
        <f>P100*$K$8*$Q$3</f>
        <v>0</v>
      </c>
      <c r="R100" s="27">
        <f>P100*$K$8</f>
        <v>0</v>
      </c>
      <c r="S100" s="12"/>
    </row>
    <row r="101" spans="1:19" hidden="1" x14ac:dyDescent="0.3">
      <c r="J101" s="30" t="s">
        <v>3</v>
      </c>
      <c r="K101" s="31">
        <f>IF(K90=0,IF(L98-K100&lt;$N$7-$L$7,L98-K100,$N$7-$L$7),IF(L98-K100&lt;$N$7-$L$7-K90,L98-K100,$N$7-$L$7-K90))</f>
        <v>398.24078399999985</v>
      </c>
      <c r="L101" s="31">
        <f>K101*$M$7*$Q$3</f>
        <v>215.76685677119991</v>
      </c>
      <c r="M101" s="32">
        <f>K101*$M$7</f>
        <v>238.94447039999989</v>
      </c>
      <c r="O101" s="30" t="s">
        <v>3</v>
      </c>
      <c r="P101" s="31">
        <f>IF(P90=0,IF(Q98-P100&lt;$N$8-$L$8,Q98-P100,$N$8-$L$8),IF(Q98-P100&lt;$N$8-$L$8-P90,Q98-P100,$N$8-$L$8-P90))</f>
        <v>0</v>
      </c>
      <c r="Q101" s="31">
        <f>P101*$M$8*$Q$3</f>
        <v>0</v>
      </c>
      <c r="R101" s="32">
        <f>P101*$M$8</f>
        <v>0</v>
      </c>
      <c r="S101" s="12"/>
    </row>
    <row r="102" spans="1:19" hidden="1" x14ac:dyDescent="0.3">
      <c r="J102" s="33" t="s">
        <v>5</v>
      </c>
      <c r="K102" s="34">
        <f>IF(K92=0,MIN($P$7-$N$7,MAX(0,L98-K101-K100)),IF(L962-K100-K101&lt;$P$7-$N$7-K92,L98-K101-K100,$P$7-$N$7-K92))</f>
        <v>0</v>
      </c>
      <c r="L102" s="34">
        <f>K102*$O$7*$Q$3</f>
        <v>0</v>
      </c>
      <c r="M102" s="35">
        <f>K102*$O$7</f>
        <v>0</v>
      </c>
      <c r="O102" s="33" t="s">
        <v>5</v>
      </c>
      <c r="P102" s="34">
        <f>IF(P92=0,IF(Q98-P101-P100&lt;$P$8-$N$8,Q98-P101-P100,$P$8-$N$8),IF(Q98-P101-P100&lt;$P$7-$N$7-P92,Q98-P101-P100,$P$7-$N$7-P92))</f>
        <v>501.75921600000015</v>
      </c>
      <c r="Q102" s="34">
        <f>P102*$O$8*$Q$3</f>
        <v>203.88985742160008</v>
      </c>
      <c r="R102" s="35">
        <f>P102*$O$8</f>
        <v>225.79164720000009</v>
      </c>
      <c r="S102" s="12"/>
    </row>
    <row r="103" spans="1:19" hidden="1" x14ac:dyDescent="0.3">
      <c r="J103" s="25"/>
      <c r="K103" s="26"/>
      <c r="L103" s="26"/>
      <c r="M103" s="27"/>
      <c r="O103" s="25"/>
      <c r="P103" s="26"/>
      <c r="Q103" s="26"/>
      <c r="R103" s="27"/>
      <c r="S103" s="12"/>
    </row>
    <row r="104" spans="1:19" hidden="1" x14ac:dyDescent="0.3">
      <c r="J104" s="154" t="s">
        <v>14</v>
      </c>
      <c r="K104" s="28">
        <f>MAX(L98-SUM(K100:K102),0)</f>
        <v>0</v>
      </c>
      <c r="L104" s="28">
        <v>0</v>
      </c>
      <c r="M104" s="29">
        <v>0</v>
      </c>
      <c r="O104" s="154" t="s">
        <v>14</v>
      </c>
      <c r="P104" s="28">
        <f>MAX(Q98-SUM(P100:P102),0)</f>
        <v>0</v>
      </c>
      <c r="Q104" s="28">
        <v>0</v>
      </c>
      <c r="R104" s="29">
        <v>0</v>
      </c>
      <c r="S104" s="12"/>
    </row>
    <row r="105" spans="1:19" hidden="1" x14ac:dyDescent="0.3">
      <c r="K105" s="153">
        <f>SUM(K100:K104)</f>
        <v>498.24078399999985</v>
      </c>
      <c r="L105" s="153">
        <f>M105*Q3</f>
        <v>396.36685677119993</v>
      </c>
      <c r="M105" s="153">
        <f>MIN(SUM(M100:M104),K65-R105)</f>
        <v>438.94447039999989</v>
      </c>
      <c r="P105" s="153">
        <f>SUM(P100:P104)</f>
        <v>501.75921600000015</v>
      </c>
      <c r="Q105" s="153">
        <f>R105*Q3</f>
        <v>203.88985742160008</v>
      </c>
      <c r="R105" s="153">
        <f>SUM(R100:R104)</f>
        <v>225.79164720000009</v>
      </c>
      <c r="S105" s="153"/>
    </row>
    <row r="106" spans="1:19" hidden="1" x14ac:dyDescent="0.3"/>
    <row r="107" spans="1:19" hidden="1" x14ac:dyDescent="0.3"/>
    <row r="108" spans="1:19" hidden="1" x14ac:dyDescent="0.3">
      <c r="C108" s="1" t="s">
        <v>102</v>
      </c>
      <c r="F108" s="22"/>
      <c r="K108" s="1" t="s">
        <v>101</v>
      </c>
    </row>
    <row r="109" spans="1:19" hidden="1" x14ac:dyDescent="0.3">
      <c r="C109" s="1" t="s">
        <v>100</v>
      </c>
      <c r="D109" s="123">
        <f>C7+D27+D31</f>
        <v>100</v>
      </c>
    </row>
    <row r="110" spans="1:19" hidden="1" x14ac:dyDescent="0.3">
      <c r="C110" s="1" t="s">
        <v>99</v>
      </c>
      <c r="D110" s="123">
        <f>C8+D28+D32</f>
        <v>1000</v>
      </c>
    </row>
    <row r="111" spans="1:19" hidden="1" x14ac:dyDescent="0.3">
      <c r="C111" s="152" t="s">
        <v>98</v>
      </c>
      <c r="D111" s="151">
        <f>MAX(R8-DP_MUT_DIV-D41-D116*(100-D117)/100,0)</f>
        <v>268.79958000000011</v>
      </c>
      <c r="E111" s="150" t="s">
        <v>97</v>
      </c>
    </row>
    <row r="112" spans="1:19" hidden="1" x14ac:dyDescent="0.3">
      <c r="C112" s="1" t="s">
        <v>96</v>
      </c>
      <c r="D112" s="123">
        <f>MAX(R7-DP_MUT_REL-DP_MUT_DIV-D40-D41-DP_DIV,0)</f>
        <v>1220.0029999999997</v>
      </c>
    </row>
    <row r="113" spans="1:5" hidden="1" x14ac:dyDescent="0.3">
      <c r="C113" s="1" t="s">
        <v>95</v>
      </c>
      <c r="D113" s="123">
        <f>MAX(R7-DP_MUT_REL-DP_MUT_DIV-DP_DIV-D41-D40-D65,0)</f>
        <v>951.2034199999996</v>
      </c>
      <c r="E113" s="149" t="s">
        <v>94</v>
      </c>
    </row>
    <row r="114" spans="1:5" hidden="1" x14ac:dyDescent="0.3"/>
    <row r="115" spans="1:5" hidden="1" x14ac:dyDescent="0.3"/>
    <row r="116" spans="1:5" hidden="1" x14ac:dyDescent="0.3">
      <c r="D116" s="2">
        <f>MAX(R8-DP_MUT_DIV-D41,0)</f>
        <v>319.99950000000013</v>
      </c>
      <c r="E116" s="1" t="s">
        <v>93</v>
      </c>
    </row>
    <row r="117" spans="1:5" hidden="1" x14ac:dyDescent="0.3">
      <c r="D117" s="148">
        <v>84</v>
      </c>
      <c r="E117" s="1" t="s">
        <v>92</v>
      </c>
    </row>
    <row r="118" spans="1:5" hidden="1" x14ac:dyDescent="0.3"/>
    <row r="119" spans="1:5" hidden="1" x14ac:dyDescent="0.3">
      <c r="A119" s="147" t="s">
        <v>91</v>
      </c>
      <c r="B119" s="146" t="s">
        <v>90</v>
      </c>
      <c r="C119" s="145">
        <f>C37</f>
        <v>2100</v>
      </c>
      <c r="D119" s="144">
        <f>'POLITIQUE D''ABONDEMENT SGPM'!F8-D51-DP_MUT_REL-DP_MUT_DIV</f>
        <v>1220.0029999999997</v>
      </c>
      <c r="E119" s="144">
        <f>D119*$Q$3</f>
        <v>1101.6627089999997</v>
      </c>
    </row>
    <row r="120" spans="1:5" hidden="1" x14ac:dyDescent="0.3"/>
    <row r="121" spans="1:5" hidden="1" x14ac:dyDescent="0.3"/>
    <row r="122" spans="1:5" hidden="1" x14ac:dyDescent="0.3"/>
    <row r="123" spans="1:5" hidden="1" x14ac:dyDescent="0.3"/>
    <row r="124" spans="1:5" hidden="1" x14ac:dyDescent="0.3"/>
  </sheetData>
  <sheetProtection algorithmName="SHA-512" hashValue="dcUUAuA3vwRAimlUsLs7lp7ZRbr85QxejwtiuB7HCY7r5mJilez1kKppce9H3yyflqkkVa/hrsU+eRbo4TFbjw==" saltValue="muiyOF8Sz+ORscq3a66rOw==" spinCount="100000" sheet="1" objects="1" scenarios="1"/>
  <protectedRanges>
    <protectedRange sqref="C3 C10:C11 C35 C7:C8 C17:C18 C23:C24 C27:C29 C31:C33" name="Saisie"/>
  </protectedRanges>
  <mergeCells count="91">
    <mergeCell ref="U13:X13"/>
    <mergeCell ref="AA13:AD13"/>
    <mergeCell ref="A2:E2"/>
    <mergeCell ref="A3:B3"/>
    <mergeCell ref="E3:F4"/>
    <mergeCell ref="A7:B7"/>
    <mergeCell ref="E7:F8"/>
    <mergeCell ref="A8:B8"/>
    <mergeCell ref="M19:M20"/>
    <mergeCell ref="A10:B10"/>
    <mergeCell ref="A11:B11"/>
    <mergeCell ref="J13:M13"/>
    <mergeCell ref="O13:R13"/>
    <mergeCell ref="A17:B17"/>
    <mergeCell ref="A18:B18"/>
    <mergeCell ref="J19:J20"/>
    <mergeCell ref="K19:K20"/>
    <mergeCell ref="L19:L20"/>
    <mergeCell ref="AD19:AD20"/>
    <mergeCell ref="O19:O20"/>
    <mergeCell ref="P19:P20"/>
    <mergeCell ref="Q19:Q20"/>
    <mergeCell ref="R19:R20"/>
    <mergeCell ref="U19:U20"/>
    <mergeCell ref="V19:V20"/>
    <mergeCell ref="W19:W20"/>
    <mergeCell ref="X19:X20"/>
    <mergeCell ref="AA19:AA20"/>
    <mergeCell ref="AB19:AB20"/>
    <mergeCell ref="AC19:AC20"/>
    <mergeCell ref="W30:W31"/>
    <mergeCell ref="X30:X31"/>
    <mergeCell ref="E31:F32"/>
    <mergeCell ref="U32:X32"/>
    <mergeCell ref="A23:B23"/>
    <mergeCell ref="E23:F24"/>
    <mergeCell ref="J23:M23"/>
    <mergeCell ref="O23:R23"/>
    <mergeCell ref="U23:X23"/>
    <mergeCell ref="A24:B24"/>
    <mergeCell ref="A40:C40"/>
    <mergeCell ref="A41:C41"/>
    <mergeCell ref="E27:F28"/>
    <mergeCell ref="U30:U31"/>
    <mergeCell ref="V30:V31"/>
    <mergeCell ref="AA32:AD32"/>
    <mergeCell ref="E35:F36"/>
    <mergeCell ref="J39:M39"/>
    <mergeCell ref="O39:R39"/>
    <mergeCell ref="U39:U40"/>
    <mergeCell ref="V39:V40"/>
    <mergeCell ref="W39:W40"/>
    <mergeCell ref="X39:X40"/>
    <mergeCell ref="AA39:AA40"/>
    <mergeCell ref="AB39:AB40"/>
    <mergeCell ref="G35:H36"/>
    <mergeCell ref="AC39:AC40"/>
    <mergeCell ref="AD39:AD40"/>
    <mergeCell ref="A43:C43"/>
    <mergeCell ref="A49:C49"/>
    <mergeCell ref="A51:C51"/>
    <mergeCell ref="A55:E55"/>
    <mergeCell ref="A59:B59"/>
    <mergeCell ref="A54:E54"/>
    <mergeCell ref="A48:C48"/>
    <mergeCell ref="A64:B64"/>
    <mergeCell ref="O85:R85"/>
    <mergeCell ref="A88:B88"/>
    <mergeCell ref="A89:B89"/>
    <mergeCell ref="A90:B90"/>
    <mergeCell ref="J84:M84"/>
    <mergeCell ref="O84:R84"/>
    <mergeCell ref="U65:X65"/>
    <mergeCell ref="A66:B66"/>
    <mergeCell ref="A68:B68"/>
    <mergeCell ref="A72:B72"/>
    <mergeCell ref="A78:B78"/>
    <mergeCell ref="A65:B65"/>
    <mergeCell ref="A92:B92"/>
    <mergeCell ref="J93:J94"/>
    <mergeCell ref="K93:K94"/>
    <mergeCell ref="L93:L94"/>
    <mergeCell ref="A85:B85"/>
    <mergeCell ref="J85:M85"/>
    <mergeCell ref="P93:P94"/>
    <mergeCell ref="Q93:Q94"/>
    <mergeCell ref="R93:R94"/>
    <mergeCell ref="J97:M97"/>
    <mergeCell ref="O97:R97"/>
    <mergeCell ref="M93:M94"/>
    <mergeCell ref="O93:O94"/>
  </mergeCells>
  <conditionalFormatting sqref="A96:A97 A102:A121">
    <cfRule type="duplicateValues" dxfId="7" priority="7"/>
  </conditionalFormatting>
  <conditionalFormatting sqref="C85">
    <cfRule type="expression" dxfId="6" priority="8">
      <formula>$C$78="OUI"</formula>
    </cfRule>
  </conditionalFormatting>
  <conditionalFormatting sqref="C88:E89">
    <cfRule type="expression" dxfId="5" priority="3">
      <formula>$C$78="OUI"</formula>
    </cfRule>
  </conditionalFormatting>
  <conditionalFormatting sqref="C90:E90">
    <cfRule type="expression" dxfId="4" priority="2">
      <formula>$C$78="OUI"</formula>
    </cfRule>
  </conditionalFormatting>
  <conditionalFormatting sqref="C92:E92">
    <cfRule type="expression" dxfId="3" priority="1">
      <formula>$C$78="OUI"</formula>
    </cfRule>
  </conditionalFormatting>
  <conditionalFormatting sqref="K30 P30 K45 P45">
    <cfRule type="cellIs" dxfId="2" priority="6" stopIfTrue="1" operator="lessThan">
      <formula>0</formula>
    </cfRule>
  </conditionalFormatting>
  <conditionalFormatting sqref="K104">
    <cfRule type="cellIs" dxfId="1" priority="4" stopIfTrue="1" operator="lessThan">
      <formula>0</formula>
    </cfRule>
  </conditionalFormatting>
  <conditionalFormatting sqref="P104">
    <cfRule type="cellIs" dxfId="0" priority="5" stopIfTrue="1" operator="lessThan">
      <formula>0</formula>
    </cfRule>
  </conditionalFormatting>
  <dataValidations count="1">
    <dataValidation type="list" allowBlank="1" showInputMessage="1" showErrorMessage="1" sqref="C3 C78" xr:uid="{FA020848-ABF7-BC46-8057-D53E3DB541A3}">
      <formula1>"OUI,NON"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Scroll Bar 1">
              <controlPr locked="0" defaultSize="0" autoPict="0">
                <anchor moveWithCells="1">
                  <from>
                    <xdr:col>3</xdr:col>
                    <xdr:colOff>0</xdr:colOff>
                    <xdr:row>58</xdr:row>
                    <xdr:rowOff>129540</xdr:rowOff>
                  </from>
                  <to>
                    <xdr:col>3</xdr:col>
                    <xdr:colOff>2529840</xdr:colOff>
                    <xdr:row>58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L15"/>
  <sheetViews>
    <sheetView workbookViewId="0">
      <selection activeCell="B15" sqref="B15:L15"/>
    </sheetView>
  </sheetViews>
  <sheetFormatPr baseColWidth="10" defaultColWidth="11.44140625" defaultRowHeight="14.4" x14ac:dyDescent="0.3"/>
  <cols>
    <col min="1" max="1" width="4.44140625" style="1" customWidth="1"/>
    <col min="2" max="2" width="6.44140625" style="1" customWidth="1"/>
    <col min="3" max="3" width="11.44140625" style="1"/>
    <col min="4" max="4" width="8.109375" style="1" customWidth="1"/>
    <col min="5" max="5" width="15.44140625" style="1" customWidth="1"/>
    <col min="6" max="6" width="13.44140625" style="1" customWidth="1"/>
    <col min="7" max="7" width="9.44140625" style="1" customWidth="1"/>
    <col min="8" max="8" width="5.77734375" style="1" customWidth="1"/>
    <col min="9" max="9" width="11.44140625" style="1"/>
    <col min="10" max="10" width="9.33203125" style="1" customWidth="1"/>
    <col min="11" max="11" width="15.77734375" style="1" customWidth="1"/>
    <col min="12" max="12" width="14" style="1" customWidth="1"/>
    <col min="13" max="16384" width="11.44140625" style="1"/>
  </cols>
  <sheetData>
    <row r="1" spans="2:12" ht="15.6" x14ac:dyDescent="0.3">
      <c r="B1" s="287" t="s">
        <v>142</v>
      </c>
    </row>
    <row r="3" spans="2:12" s="132" customFormat="1" ht="42.75" customHeight="1" x14ac:dyDescent="0.3">
      <c r="B3" s="455" t="s">
        <v>77</v>
      </c>
      <c r="C3" s="456"/>
      <c r="D3" s="456"/>
      <c r="E3" s="456"/>
      <c r="F3" s="456"/>
      <c r="G3" s="131"/>
      <c r="H3" s="455" t="s">
        <v>78</v>
      </c>
      <c r="I3" s="456" t="e">
        <f>+#REF!</f>
        <v>#REF!</v>
      </c>
      <c r="J3" s="456"/>
      <c r="K3" s="456"/>
      <c r="L3" s="456"/>
    </row>
    <row r="4" spans="2:12" ht="27.6" x14ac:dyDescent="0.3">
      <c r="B4" s="457" t="s">
        <v>49</v>
      </c>
      <c r="C4" s="457"/>
      <c r="D4" s="98" t="s">
        <v>50</v>
      </c>
      <c r="E4" s="99" t="s">
        <v>51</v>
      </c>
      <c r="F4" s="99" t="s">
        <v>63</v>
      </c>
      <c r="G4" s="106"/>
      <c r="H4" s="457" t="s">
        <v>49</v>
      </c>
      <c r="I4" s="457"/>
      <c r="J4" s="98" t="s">
        <v>50</v>
      </c>
      <c r="K4" s="99" t="s">
        <v>51</v>
      </c>
      <c r="L4" s="99" t="s">
        <v>63</v>
      </c>
    </row>
    <row r="5" spans="2:12" x14ac:dyDescent="0.3">
      <c r="B5" s="100" t="s">
        <v>52</v>
      </c>
      <c r="C5" s="101" t="s">
        <v>53</v>
      </c>
      <c r="D5" s="102">
        <v>2</v>
      </c>
      <c r="E5" s="101">
        <v>200</v>
      </c>
      <c r="F5" s="101">
        <f>+E5*200%</f>
        <v>400</v>
      </c>
      <c r="G5" s="106"/>
      <c r="H5" s="100" t="s">
        <v>52</v>
      </c>
      <c r="I5" s="101" t="s">
        <v>53</v>
      </c>
      <c r="J5" s="102">
        <v>1.5</v>
      </c>
      <c r="K5" s="101">
        <v>200</v>
      </c>
      <c r="L5" s="101">
        <f>+K5*150%</f>
        <v>300</v>
      </c>
    </row>
    <row r="6" spans="2:12" x14ac:dyDescent="0.3">
      <c r="B6" s="100" t="s">
        <v>54</v>
      </c>
      <c r="C6" s="101" t="s">
        <v>55</v>
      </c>
      <c r="D6" s="102">
        <v>0.6</v>
      </c>
      <c r="E6" s="101">
        <v>800</v>
      </c>
      <c r="F6" s="101">
        <f>+E6*60%</f>
        <v>480</v>
      </c>
      <c r="G6" s="106"/>
      <c r="H6" s="100" t="s">
        <v>54</v>
      </c>
      <c r="I6" s="101" t="s">
        <v>55</v>
      </c>
      <c r="J6" s="102">
        <v>0.6</v>
      </c>
      <c r="K6" s="101">
        <v>800</v>
      </c>
      <c r="L6" s="101">
        <f>+K6*60%</f>
        <v>480</v>
      </c>
    </row>
    <row r="7" spans="2:12" x14ac:dyDescent="0.3">
      <c r="B7" s="100" t="s">
        <v>56</v>
      </c>
      <c r="C7" s="101" t="s">
        <v>57</v>
      </c>
      <c r="D7" s="102">
        <v>0.45</v>
      </c>
      <c r="E7" s="101">
        <f>(3488.89+444.45)-1000</f>
        <v>2933.3399999999997</v>
      </c>
      <c r="F7" s="101">
        <f>+E7*45%</f>
        <v>1320.0029999999999</v>
      </c>
      <c r="G7" s="106"/>
      <c r="H7" s="100" t="s">
        <v>56</v>
      </c>
      <c r="I7" s="101" t="s">
        <v>57</v>
      </c>
      <c r="J7" s="102">
        <v>0.45</v>
      </c>
      <c r="K7" s="101">
        <f>(1488.89+222.22)-1000</f>
        <v>711.11000000000013</v>
      </c>
      <c r="L7" s="101">
        <f>+K7*45%</f>
        <v>319.99950000000007</v>
      </c>
    </row>
    <row r="8" spans="2:12" x14ac:dyDescent="0.3">
      <c r="B8" s="457" t="s">
        <v>58</v>
      </c>
      <c r="C8" s="457"/>
      <c r="D8" s="103"/>
      <c r="E8" s="104">
        <f>SUM(E5:E7)</f>
        <v>3933.3399999999997</v>
      </c>
      <c r="F8" s="104">
        <f>SUM(F5:F7)</f>
        <v>2200.0029999999997</v>
      </c>
      <c r="G8" s="106"/>
      <c r="H8" s="457" t="s">
        <v>58</v>
      </c>
      <c r="I8" s="457"/>
      <c r="J8" s="103"/>
      <c r="K8" s="104">
        <f>SUM(K5:K7)</f>
        <v>1711.1100000000001</v>
      </c>
      <c r="L8" s="104">
        <f>SUM(L5:L7)</f>
        <v>1099.9995000000001</v>
      </c>
    </row>
    <row r="10" spans="2:12" x14ac:dyDescent="0.3">
      <c r="E10" s="107" t="s">
        <v>59</v>
      </c>
      <c r="F10" s="108">
        <f>+F8*0.903</f>
        <v>1986.6027089999998</v>
      </c>
      <c r="K10" s="107" t="s">
        <v>59</v>
      </c>
      <c r="L10" s="108">
        <f>+L8*0.903</f>
        <v>993.29954850000013</v>
      </c>
    </row>
    <row r="12" spans="2:12" x14ac:dyDescent="0.3">
      <c r="B12" s="115" t="s">
        <v>80</v>
      </c>
    </row>
    <row r="13" spans="2:12" ht="15" thickBot="1" x14ac:dyDescent="0.35"/>
    <row r="14" spans="2:12" x14ac:dyDescent="0.3">
      <c r="B14" s="449" t="s">
        <v>76</v>
      </c>
      <c r="C14" s="450"/>
      <c r="D14" s="450"/>
      <c r="E14" s="450"/>
      <c r="F14" s="450"/>
      <c r="G14" s="450"/>
      <c r="H14" s="450"/>
      <c r="I14" s="450"/>
      <c r="J14" s="450"/>
      <c r="K14" s="450"/>
      <c r="L14" s="451"/>
    </row>
    <row r="15" spans="2:12" ht="29.25" customHeight="1" thickBot="1" x14ac:dyDescent="0.35">
      <c r="B15" s="452" t="s">
        <v>75</v>
      </c>
      <c r="C15" s="453"/>
      <c r="D15" s="453"/>
      <c r="E15" s="453"/>
      <c r="F15" s="453"/>
      <c r="G15" s="453"/>
      <c r="H15" s="453"/>
      <c r="I15" s="453"/>
      <c r="J15" s="453"/>
      <c r="K15" s="453"/>
      <c r="L15" s="454"/>
    </row>
  </sheetData>
  <sheetProtection algorithmName="SHA-512" hashValue="I+ovH/lwSZAjbmbs0d/9UovA76yGbaMtk5XR2QuwES+8dp7N3BxVSEeqPZ6ZDJgCoQjUDlHpIa/wvkq/o9r8mg==" saltValue="atnxq5P89N2MbYBgGdqKnQ==" spinCount="100000" sheet="1" objects="1" scenarios="1"/>
  <customSheetViews>
    <customSheetView guid="{49BB82C4-E509-41D7-8598-FE67063C496F}">
      <selection activeCell="E22" sqref="E22"/>
      <pageMargins left="0.7" right="0.7" top="0.75" bottom="0.75" header="0.3" footer="0.3"/>
      <pageSetup paperSize="9" orientation="portrait"/>
    </customSheetView>
  </customSheetViews>
  <mergeCells count="8">
    <mergeCell ref="B14:L14"/>
    <mergeCell ref="B15:L15"/>
    <mergeCell ref="B3:F3"/>
    <mergeCell ref="H3:L3"/>
    <mergeCell ref="B4:C4"/>
    <mergeCell ref="H4:I4"/>
    <mergeCell ref="B8:C8"/>
    <mergeCell ref="H8:I8"/>
  </mergeCells>
  <hyperlinks>
    <hyperlink ref="B15:L15" location="'Simulateur d''abondement SGPM'!Zone_d_impression" display="Simulateur d'abondement SGPM" xr:uid="{00000000-0004-0000-0000-000000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31</vt:i4>
      </vt:variant>
    </vt:vector>
  </HeadingPairs>
  <TitlesOfParts>
    <vt:vector size="35" baseType="lpstr">
      <vt:lpstr>Interface simplifiée</vt:lpstr>
      <vt:lpstr>Simuler mon abondement SGPM</vt:lpstr>
      <vt:lpstr>Maximiser mon abondement SGPM</vt:lpstr>
      <vt:lpstr>POLITIQUE D'ABONDEMENT SGPM</vt:lpstr>
      <vt:lpstr>AK_INT</vt:lpstr>
      <vt:lpstr>AK_INT_TER</vt:lpstr>
      <vt:lpstr>AK_PART</vt:lpstr>
      <vt:lpstr>AK_PART_TER</vt:lpstr>
      <vt:lpstr>AK_VV</vt:lpstr>
      <vt:lpstr>CPT_INT</vt:lpstr>
      <vt:lpstr>CPT_INT_TER</vt:lpstr>
      <vt:lpstr>CPT_PART</vt:lpstr>
      <vt:lpstr>CPT_PART_TER</vt:lpstr>
      <vt:lpstr>DIV_INT</vt:lpstr>
      <vt:lpstr>DIV_INT_TER</vt:lpstr>
      <vt:lpstr>DIV_PART</vt:lpstr>
      <vt:lpstr>DIV_PART_TER</vt:lpstr>
      <vt:lpstr>DP_DIV</vt:lpstr>
      <vt:lpstr>DP_DIV_TER</vt:lpstr>
      <vt:lpstr>DP_MUT_DIV</vt:lpstr>
      <vt:lpstr>DP_MUT_DIV_TER</vt:lpstr>
      <vt:lpstr>DP_MUT_REL</vt:lpstr>
      <vt:lpstr>DP_MUT_REL_TER</vt:lpstr>
      <vt:lpstr>DP_REL</vt:lpstr>
      <vt:lpstr>DP_REL_TER</vt:lpstr>
      <vt:lpstr>DV_DIV</vt:lpstr>
      <vt:lpstr>DV_DIV_TER</vt:lpstr>
      <vt:lpstr>DV_REL</vt:lpstr>
      <vt:lpstr>DV_REL_TER</vt:lpstr>
      <vt:lpstr>INT</vt:lpstr>
      <vt:lpstr>INT_TER</vt:lpstr>
      <vt:lpstr>PLFD_ENTITE</vt:lpstr>
      <vt:lpstr>RSP</vt:lpstr>
      <vt:lpstr>RSP_TER</vt:lpstr>
      <vt:lpstr>'Simuler mon abondement SGPM'!Zone_d_impression</vt:lpstr>
    </vt:vector>
  </TitlesOfParts>
  <Company>LOGICA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REDIVO</dc:creator>
  <cp:lastModifiedBy>JEAN PIERRE SCHILTZ</cp:lastModifiedBy>
  <cp:lastPrinted>2013-03-25T15:44:20Z</cp:lastPrinted>
  <dcterms:created xsi:type="dcterms:W3CDTF">2013-02-07T16:29:40Z</dcterms:created>
  <dcterms:modified xsi:type="dcterms:W3CDTF">2023-06-06T10:23:46Z</dcterms:modified>
</cp:coreProperties>
</file>